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updateLinks="always" codeName="ThisWorkbook" defaultThemeVersion="124226"/>
  <mc:AlternateContent xmlns:mc="http://schemas.openxmlformats.org/markup-compatibility/2006">
    <mc:Choice Requires="x15">
      <x15ac:absPath xmlns:x15ac="http://schemas.microsoft.com/office/spreadsheetml/2010/11/ac" url="https://buckeyemailosu-my.sharepoint.com/personal/andujar_11_osu_edu/Documents/Documents/Estimate Template-Agreement/"/>
    </mc:Choice>
  </mc:AlternateContent>
  <xr:revisionPtr revIDLastSave="1" documentId="8_{47226B71-F072-48C8-8133-9606C204008B}" xr6:coauthVersionLast="47" xr6:coauthVersionMax="47" xr10:uidLastSave="{E47ED573-8A3F-4D88-8F2D-F715CEC574AA}"/>
  <bookViews>
    <workbookView xWindow="615" yWindow="255" windowWidth="27675" windowHeight="14880" tabRatio="814" activeTab="1" xr2:uid="{00000000-000D-0000-FFFF-FFFF00000000}"/>
  </bookViews>
  <sheets>
    <sheet name="Budget Template Instructions" sheetId="41" r:id="rId1"/>
    <sheet name="Estimate Template" sheetId="68" r:id="rId2"/>
    <sheet name="Below The Line" sheetId="66" r:id="rId3"/>
    <sheet name="Total Project Estimate (PDF ME)" sheetId="54" r:id="rId4"/>
    <sheet name="Funding Increase Worksheet" sheetId="67" r:id="rId5"/>
    <sheet name="ConceptualConstructionEstimate" sheetId="18" state="hidden" r:id="rId6"/>
    <sheet name="Basic Services Fees" sheetId="15" r:id="rId7"/>
    <sheet name="Fee Look Up Table" sheetId="12" r:id="rId8"/>
    <sheet name="Benchmark Cost Per SF" sheetId="39" r:id="rId9"/>
    <sheet name="Consultants" sheetId="13" r:id="rId10"/>
  </sheets>
  <definedNames>
    <definedName name="_xlnm._FilterDatabase" localSheetId="6" hidden="1">'Basic Services Fees'!$A$67:$A$98</definedName>
    <definedName name="_xlnm._FilterDatabase" localSheetId="5" hidden="1">#REF!</definedName>
    <definedName name="_xlnm._FilterDatabase" localSheetId="4" hidden="1">'Funding Increase Worksheet'!$A$4:$E$51</definedName>
    <definedName name="_xlnm._FilterDatabase" localSheetId="3" hidden="1">'Total Project Estimate (PDF ME)'!$G$4:$G$125</definedName>
    <definedName name="AoRConFee">'Estimate Template'!$H$96</definedName>
    <definedName name="AssetTagTbl">'Benchmark Cost Per SF'!$L$55:$T$78</definedName>
    <definedName name="CMLookUp">'Fee Look Up Table'!$A$13:$H$23</definedName>
    <definedName name="CMRFees">'Fee Look Up Table'!$A$15:$H$23</definedName>
    <definedName name="Complexity">'Estimate Template'!$D$63</definedName>
    <definedName name="ConCont">'Estimate Template'!$H$95</definedName>
    <definedName name="ConCost">'Estimate Template'!$H$92*(1+SUM('Estimate Template'!$E$93:$E$98))</definedName>
    <definedName name="DBFees">'Fee Look Up Table'!$A$27:$I$39</definedName>
    <definedName name="DBLookUp">'Fee Look Up Table'!$A$25:$H$39</definedName>
    <definedName name="DnC">'Estimate Template'!$H$67+'Estimate Template'!$H$105</definedName>
    <definedName name="EstimatedCost">'Estimate Template'!$H$67+'Estimate Template'!$H$99+'Estimate Template'!$H$105+'Estimate Template'!$H$122+'Estimate Template'!$H$126+'Estimate Template'!$H$133+'Estimate Template'!$H$137+'Estimate Template'!$H$98</definedName>
    <definedName name="Fee">'Estimate Template'!$H$97</definedName>
    <definedName name="GenCon">'Estimate Template'!$H$93</definedName>
    <definedName name="IDIQ_Look_Up_Table">'Fee Look Up Table'!$A$52:$C$64</definedName>
    <definedName name="IDIQFeeTbl">'Fee Look Up Table'!$A$53:$D$85</definedName>
    <definedName name="LabMat">SUM('Estimate Template'!$H$70:$H$72,'Estimate Template'!$H$75,'Estimate Template'!$H$78,'Estimate Template'!$H$81:$H$82,'Estimate Template'!$H$84:$H$85,'Estimate Template'!$H$89,'Estimate Template'!$H$91)</definedName>
    <definedName name="LocalAdminFeeUnder215K">'Estimate Template'!$H$16+'Estimate Template'!$H$25+'Estimate Template'!$H$31+'Estimate Template'!$H$33+'Estimate Template'!$H$38</definedName>
    <definedName name="_xlnm.Print_Area" localSheetId="2">'Below The Line'!$A$1:$F$54</definedName>
    <definedName name="_xlnm.Print_Area" localSheetId="5">ConceptualConstructionEstimate!$A$2:$G$42</definedName>
    <definedName name="_xlnm.Print_Area" localSheetId="4">'Funding Increase Worksheet'!$A$1:$E$54</definedName>
    <definedName name="_xlnm.Print_Titles" localSheetId="5">ConceptualConstructionEstimate!$2:$23</definedName>
    <definedName name="ProjectCost">SUM('Estimate Template'!$H$128:$H$131,'Estimate Template'!$H$133,'Estimate Template'!$H$124,'Estimate Template'!$H$122,'Estimate Template'!$H$105,'Estimate Template'!$H$99,'Estimate Template'!$H$67)</definedName>
    <definedName name="Type">'Estimate Template'!$D$62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4" i="68" l="1"/>
  <c r="F96" i="68" l="1"/>
  <c r="F95" i="68"/>
  <c r="F46" i="68"/>
  <c r="F94" i="68"/>
  <c r="F15" i="12"/>
  <c r="C32" i="67" l="1"/>
  <c r="H116" i="68"/>
  <c r="G19" i="68" l="1"/>
  <c r="F23" i="68"/>
  <c r="D66" i="12"/>
  <c r="H124" i="68"/>
  <c r="C107" i="68"/>
  <c r="F114" i="68" s="1"/>
  <c r="D14" i="54" s="1"/>
  <c r="F70" i="68"/>
  <c r="G70" i="68" s="1"/>
  <c r="H70" i="68" s="1"/>
  <c r="G71" i="68"/>
  <c r="H71" i="68" s="1"/>
  <c r="G72" i="68"/>
  <c r="H72" i="68" s="1"/>
  <c r="B81" i="68"/>
  <c r="H81" i="68" s="1"/>
  <c r="H83" i="68"/>
  <c r="H85" i="68"/>
  <c r="E89" i="68"/>
  <c r="F91" i="68"/>
  <c r="J2" i="12"/>
  <c r="H110" i="68"/>
  <c r="E10" i="54" s="1"/>
  <c r="F100" i="68"/>
  <c r="F101" i="68"/>
  <c r="F102" i="68"/>
  <c r="F103" i="68"/>
  <c r="F104" i="68"/>
  <c r="F123" i="68"/>
  <c r="H123" i="68" s="1"/>
  <c r="H122" i="68" s="1"/>
  <c r="F44" i="54"/>
  <c r="C42" i="67" s="1"/>
  <c r="E42" i="67" s="1"/>
  <c r="F45" i="54"/>
  <c r="C43" i="67" s="1"/>
  <c r="E43" i="67" s="1"/>
  <c r="F131" i="68"/>
  <c r="G41" i="54"/>
  <c r="C39" i="67" s="1"/>
  <c r="E39" i="67" s="1"/>
  <c r="D48" i="67"/>
  <c r="D49" i="67"/>
  <c r="D50" i="67"/>
  <c r="J132" i="68"/>
  <c r="I133" i="68"/>
  <c r="I132" i="68"/>
  <c r="B35" i="68"/>
  <c r="H25" i="68"/>
  <c r="D22" i="67"/>
  <c r="E24" i="54"/>
  <c r="C24" i="67" s="1"/>
  <c r="E24" i="67" s="1"/>
  <c r="E25" i="54"/>
  <c r="C25" i="67" s="1"/>
  <c r="E25" i="67" s="1"/>
  <c r="G32" i="68"/>
  <c r="C51" i="67"/>
  <c r="E51" i="67" s="1"/>
  <c r="B11" i="54"/>
  <c r="B54" i="54"/>
  <c r="B59" i="54"/>
  <c r="B64" i="54"/>
  <c r="B69" i="54"/>
  <c r="B74" i="54"/>
  <c r="B79" i="54"/>
  <c r="B84" i="54"/>
  <c r="B89" i="54"/>
  <c r="B94" i="54"/>
  <c r="B99" i="54"/>
  <c r="B104" i="54"/>
  <c r="B109" i="54"/>
  <c r="A84" i="54"/>
  <c r="F84" i="54"/>
  <c r="G84" i="54" s="1"/>
  <c r="A89" i="54"/>
  <c r="A94" i="54"/>
  <c r="A99" i="54"/>
  <c r="A104" i="54"/>
  <c r="A109" i="54"/>
  <c r="A79" i="54"/>
  <c r="B98" i="54"/>
  <c r="G98" i="54" s="1"/>
  <c r="B97" i="54"/>
  <c r="G97" i="54" s="1"/>
  <c r="B96" i="54"/>
  <c r="G96" i="54" s="1"/>
  <c r="B95" i="54"/>
  <c r="G95" i="54" s="1"/>
  <c r="A74" i="54"/>
  <c r="A69" i="54"/>
  <c r="A64" i="54"/>
  <c r="A59" i="54"/>
  <c r="A54" i="54"/>
  <c r="D57" i="68"/>
  <c r="F57" i="68" s="1"/>
  <c r="B112" i="54" s="1"/>
  <c r="G112" i="54" s="1"/>
  <c r="B110" i="54"/>
  <c r="G110" i="54" s="1"/>
  <c r="F17" i="12"/>
  <c r="B17" i="12" s="1"/>
  <c r="F18" i="12"/>
  <c r="B18" i="12" s="1"/>
  <c r="F19" i="12"/>
  <c r="B19" i="12" s="1"/>
  <c r="F20" i="12"/>
  <c r="B20" i="12" s="1"/>
  <c r="F21" i="12"/>
  <c r="B21" i="12"/>
  <c r="F22" i="12"/>
  <c r="B22" i="12" s="1"/>
  <c r="F23" i="12"/>
  <c r="B23" i="12" s="1"/>
  <c r="F16" i="12"/>
  <c r="B16" i="12" s="1"/>
  <c r="D29" i="12"/>
  <c r="G29" i="12" s="1"/>
  <c r="B29" i="12" s="1"/>
  <c r="D30" i="12"/>
  <c r="G30" i="12" s="1"/>
  <c r="B30" i="12" s="1"/>
  <c r="D31" i="12"/>
  <c r="G31" i="12" s="1"/>
  <c r="B31" i="12" s="1"/>
  <c r="D32" i="12"/>
  <c r="G32" i="12" s="1"/>
  <c r="B32" i="12" s="1"/>
  <c r="D33" i="12"/>
  <c r="G33" i="12" s="1"/>
  <c r="B33" i="12" s="1"/>
  <c r="D34" i="12"/>
  <c r="G34" i="12" s="1"/>
  <c r="B34" i="12" s="1"/>
  <c r="D35" i="12"/>
  <c r="G35" i="12" s="1"/>
  <c r="B35" i="12" s="1"/>
  <c r="D36" i="12"/>
  <c r="G36" i="12" s="1"/>
  <c r="B36" i="12" s="1"/>
  <c r="D37" i="12"/>
  <c r="G37" i="12" s="1"/>
  <c r="B37" i="12" s="1"/>
  <c r="D38" i="12"/>
  <c r="G38" i="12" s="1"/>
  <c r="B38" i="12" s="1"/>
  <c r="D39" i="12"/>
  <c r="G39" i="12" s="1"/>
  <c r="B39" i="12" s="1"/>
  <c r="D28" i="12"/>
  <c r="G28" i="12" s="1"/>
  <c r="B28" i="12" s="1"/>
  <c r="D27" i="12"/>
  <c r="G27" i="12" s="1"/>
  <c r="B26" i="54"/>
  <c r="T59" i="39"/>
  <c r="T61" i="39"/>
  <c r="T67" i="39"/>
  <c r="T69" i="39"/>
  <c r="T75" i="39"/>
  <c r="T77" i="39"/>
  <c r="S56" i="39"/>
  <c r="S57" i="39"/>
  <c r="S58" i="39"/>
  <c r="S59" i="39"/>
  <c r="S60" i="39"/>
  <c r="S61" i="39"/>
  <c r="S62" i="39"/>
  <c r="S63" i="39"/>
  <c r="S64" i="39"/>
  <c r="S65" i="39"/>
  <c r="S66" i="39"/>
  <c r="S67" i="39"/>
  <c r="S68" i="39"/>
  <c r="S69" i="39"/>
  <c r="S70" i="39"/>
  <c r="S71" i="39"/>
  <c r="S72" i="39"/>
  <c r="S73" i="39"/>
  <c r="S74" i="39"/>
  <c r="S75" i="39"/>
  <c r="S76" i="39"/>
  <c r="S77" i="39"/>
  <c r="S78" i="39"/>
  <c r="S55" i="39"/>
  <c r="R56" i="39"/>
  <c r="R57" i="39"/>
  <c r="R58" i="39"/>
  <c r="R59" i="39"/>
  <c r="R60" i="39"/>
  <c r="R61" i="39"/>
  <c r="R62" i="39"/>
  <c r="R63" i="39"/>
  <c r="R64" i="39"/>
  <c r="R65" i="39"/>
  <c r="R66" i="39"/>
  <c r="R67" i="39"/>
  <c r="R68" i="39"/>
  <c r="R69" i="39"/>
  <c r="R70" i="39"/>
  <c r="R71" i="39"/>
  <c r="R72" i="39"/>
  <c r="R73" i="39"/>
  <c r="R74" i="39"/>
  <c r="R75" i="39"/>
  <c r="R76" i="39"/>
  <c r="R77" i="39"/>
  <c r="R78" i="39"/>
  <c r="R55" i="39"/>
  <c r="C82" i="68"/>
  <c r="Q56" i="39"/>
  <c r="T56" i="39"/>
  <c r="Q57" i="39"/>
  <c r="T57" i="39"/>
  <c r="Q58" i="39"/>
  <c r="T58" i="39"/>
  <c r="Q59" i="39"/>
  <c r="Q60" i="39"/>
  <c r="T60" i="39"/>
  <c r="Q61" i="39"/>
  <c r="Q62" i="39"/>
  <c r="T62" i="39"/>
  <c r="Q63" i="39"/>
  <c r="T63" i="39"/>
  <c r="Q64" i="39"/>
  <c r="T64" i="39"/>
  <c r="Q65" i="39"/>
  <c r="T65" i="39"/>
  <c r="Q66" i="39"/>
  <c r="T66" i="39"/>
  <c r="Q67" i="39"/>
  <c r="Q68" i="39"/>
  <c r="T68" i="39"/>
  <c r="Q69" i="39"/>
  <c r="Q70" i="39"/>
  <c r="T70" i="39"/>
  <c r="Q71" i="39"/>
  <c r="T71" i="39"/>
  <c r="Q72" i="39"/>
  <c r="T72" i="39"/>
  <c r="Q73" i="39"/>
  <c r="T73" i="39"/>
  <c r="Q74" i="39"/>
  <c r="T74" i="39"/>
  <c r="Q75" i="39"/>
  <c r="Q76" i="39"/>
  <c r="T76" i="39"/>
  <c r="Q77" i="39"/>
  <c r="Q78" i="39"/>
  <c r="T78" i="39"/>
  <c r="Q55" i="39"/>
  <c r="T55" i="39"/>
  <c r="A2" i="54"/>
  <c r="A2" i="67" s="1"/>
  <c r="A1" i="54"/>
  <c r="A1" i="67" s="1"/>
  <c r="F71" i="68"/>
  <c r="A2" i="66"/>
  <c r="A1" i="66"/>
  <c r="E27" i="54"/>
  <c r="C26" i="67" s="1"/>
  <c r="E26" i="67" s="1"/>
  <c r="E28" i="54"/>
  <c r="C27" i="67" s="1"/>
  <c r="E27" i="67" s="1"/>
  <c r="E29" i="54"/>
  <c r="C28" i="67" s="1"/>
  <c r="E28" i="67" s="1"/>
  <c r="E31" i="54"/>
  <c r="G31" i="54" s="1"/>
  <c r="B25" i="54"/>
  <c r="B27" i="54"/>
  <c r="B28" i="54"/>
  <c r="B29" i="54"/>
  <c r="B30" i="54"/>
  <c r="B31" i="54"/>
  <c r="B24" i="54"/>
  <c r="F21" i="54"/>
  <c r="G21" i="54" s="1"/>
  <c r="F18" i="54"/>
  <c r="G18" i="54" s="1"/>
  <c r="F19" i="54"/>
  <c r="G19" i="54" s="1"/>
  <c r="F20" i="54"/>
  <c r="G20" i="54" s="1"/>
  <c r="D10" i="54"/>
  <c r="D11" i="54"/>
  <c r="D16" i="54"/>
  <c r="D6" i="54"/>
  <c r="E16" i="54"/>
  <c r="G16" i="54" s="1"/>
  <c r="F72" i="68"/>
  <c r="G271" i="68"/>
  <c r="G270" i="68"/>
  <c r="G269" i="68"/>
  <c r="G268" i="68"/>
  <c r="G267" i="68"/>
  <c r="G266" i="68"/>
  <c r="G265" i="68"/>
  <c r="G264" i="68"/>
  <c r="G263" i="68"/>
  <c r="G262" i="68"/>
  <c r="G261" i="68"/>
  <c r="G260" i="68"/>
  <c r="D56" i="68" s="1"/>
  <c r="G259" i="68"/>
  <c r="G258" i="68"/>
  <c r="G257" i="68"/>
  <c r="G256" i="68"/>
  <c r="G252" i="68"/>
  <c r="G251" i="68"/>
  <c r="G250" i="68"/>
  <c r="G249" i="68"/>
  <c r="G248" i="68"/>
  <c r="G247" i="68"/>
  <c r="G246" i="68"/>
  <c r="G245" i="68"/>
  <c r="G244" i="68"/>
  <c r="G243" i="68"/>
  <c r="G242" i="68"/>
  <c r="G241" i="68"/>
  <c r="G240" i="68"/>
  <c r="G239" i="68"/>
  <c r="G238" i="68"/>
  <c r="G237" i="68"/>
  <c r="G233" i="68"/>
  <c r="G232" i="68"/>
  <c r="G231" i="68"/>
  <c r="G230" i="68"/>
  <c r="G229" i="68"/>
  <c r="G228" i="68"/>
  <c r="G227" i="68"/>
  <c r="G226" i="68"/>
  <c r="G225" i="68"/>
  <c r="G224" i="68"/>
  <c r="G223" i="68"/>
  <c r="G222" i="68"/>
  <c r="G221" i="68"/>
  <c r="G220" i="68"/>
  <c r="G219" i="68"/>
  <c r="G218" i="68"/>
  <c r="G214" i="68"/>
  <c r="G213" i="68"/>
  <c r="G212" i="68"/>
  <c r="G211" i="68"/>
  <c r="G210" i="68"/>
  <c r="G209" i="68"/>
  <c r="G208" i="68"/>
  <c r="G207" i="68"/>
  <c r="G206" i="68"/>
  <c r="G205" i="68"/>
  <c r="G204" i="68"/>
  <c r="G203" i="68"/>
  <c r="D53" i="68" s="1"/>
  <c r="G202" i="68"/>
  <c r="G201" i="68"/>
  <c r="G200" i="68"/>
  <c r="G199" i="68"/>
  <c r="G195" i="68"/>
  <c r="G194" i="68"/>
  <c r="G193" i="68"/>
  <c r="G192" i="68"/>
  <c r="G191" i="68"/>
  <c r="G190" i="68"/>
  <c r="G189" i="68"/>
  <c r="G188" i="68"/>
  <c r="G187" i="68"/>
  <c r="G186" i="68"/>
  <c r="G185" i="68"/>
  <c r="G184" i="68"/>
  <c r="D52" i="68" s="1"/>
  <c r="G183" i="68"/>
  <c r="G182" i="68"/>
  <c r="G181" i="68"/>
  <c r="G180" i="68"/>
  <c r="G176" i="68"/>
  <c r="G175" i="68"/>
  <c r="G174" i="68"/>
  <c r="G173" i="68"/>
  <c r="G172" i="68"/>
  <c r="G171" i="68"/>
  <c r="G170" i="68"/>
  <c r="G169" i="68"/>
  <c r="G168" i="68"/>
  <c r="G167" i="68"/>
  <c r="G166" i="68"/>
  <c r="G165" i="68"/>
  <c r="G164" i="68"/>
  <c r="G163" i="68"/>
  <c r="G162" i="68"/>
  <c r="G161" i="68"/>
  <c r="G157" i="68"/>
  <c r="G156" i="68"/>
  <c r="G155" i="68"/>
  <c r="G154" i="68"/>
  <c r="G153" i="68"/>
  <c r="G152" i="68"/>
  <c r="G151" i="68"/>
  <c r="G150" i="68"/>
  <c r="G149" i="68"/>
  <c r="G148" i="68"/>
  <c r="G147" i="68"/>
  <c r="G146" i="68"/>
  <c r="G145" i="68"/>
  <c r="G144" i="68"/>
  <c r="G143" i="68"/>
  <c r="G142" i="68"/>
  <c r="E32" i="68"/>
  <c r="D32" i="67"/>
  <c r="D33" i="67"/>
  <c r="C31" i="67"/>
  <c r="E31" i="67" s="1"/>
  <c r="E32" i="67"/>
  <c r="C17" i="67"/>
  <c r="E17" i="67" s="1"/>
  <c r="C18" i="67"/>
  <c r="E18" i="67" s="1"/>
  <c r="C19" i="67"/>
  <c r="E19" i="67" s="1"/>
  <c r="C20" i="67"/>
  <c r="E20" i="67" s="1"/>
  <c r="C21" i="67"/>
  <c r="E21" i="67" s="1"/>
  <c r="C64" i="12"/>
  <c r="B64" i="12"/>
  <c r="F34" i="68"/>
  <c r="E43" i="39"/>
  <c r="F113" i="39"/>
  <c r="F112" i="39"/>
  <c r="F111" i="39"/>
  <c r="F110" i="39"/>
  <c r="F109" i="39"/>
  <c r="F108" i="39"/>
  <c r="F107" i="39"/>
  <c r="F99" i="39"/>
  <c r="F98" i="39"/>
  <c r="F97" i="39"/>
  <c r="F96" i="39"/>
  <c r="F95" i="39"/>
  <c r="F94" i="39"/>
  <c r="F93" i="39"/>
  <c r="F92" i="39"/>
  <c r="F91" i="39"/>
  <c r="F90" i="39"/>
  <c r="C113" i="39"/>
  <c r="C112" i="39"/>
  <c r="C111" i="39"/>
  <c r="C110" i="39"/>
  <c r="C109" i="39"/>
  <c r="C108" i="39"/>
  <c r="C107" i="39"/>
  <c r="C99" i="39"/>
  <c r="C98" i="39"/>
  <c r="C97" i="39"/>
  <c r="C96" i="39"/>
  <c r="C95" i="39"/>
  <c r="C94" i="39"/>
  <c r="C93" i="39"/>
  <c r="C92" i="39"/>
  <c r="C91" i="39"/>
  <c r="C90" i="39"/>
  <c r="G80" i="39"/>
  <c r="G79" i="39"/>
  <c r="G78" i="39"/>
  <c r="G77" i="39"/>
  <c r="G76" i="39"/>
  <c r="G75" i="39"/>
  <c r="G74" i="39"/>
  <c r="G73" i="39"/>
  <c r="G72" i="39"/>
  <c r="G71" i="39"/>
  <c r="G70" i="39"/>
  <c r="G69" i="39"/>
  <c r="G68" i="39"/>
  <c r="G67" i="39"/>
  <c r="G66" i="39"/>
  <c r="G65" i="39"/>
  <c r="G64" i="39"/>
  <c r="G63" i="39"/>
  <c r="G62" i="39"/>
  <c r="G61" i="39"/>
  <c r="G60" i="39"/>
  <c r="G59" i="39"/>
  <c r="G58" i="39"/>
  <c r="G57" i="39"/>
  <c r="F80" i="39"/>
  <c r="F79" i="39"/>
  <c r="F78" i="39"/>
  <c r="F77" i="39"/>
  <c r="F76" i="39"/>
  <c r="F75" i="39"/>
  <c r="F74" i="39"/>
  <c r="F73" i="39"/>
  <c r="F72" i="39"/>
  <c r="F71" i="39"/>
  <c r="F70" i="39"/>
  <c r="F69" i="39"/>
  <c r="F68" i="39"/>
  <c r="F67" i="39"/>
  <c r="F66" i="39"/>
  <c r="F65" i="39"/>
  <c r="F64" i="39"/>
  <c r="F63" i="39"/>
  <c r="F62" i="39"/>
  <c r="F61" i="39"/>
  <c r="F60" i="39"/>
  <c r="F59" i="39"/>
  <c r="F58" i="39"/>
  <c r="F57" i="39"/>
  <c r="E80" i="39"/>
  <c r="E79" i="39"/>
  <c r="E78" i="39"/>
  <c r="E77" i="39"/>
  <c r="E76" i="39"/>
  <c r="E75" i="39"/>
  <c r="E74" i="39"/>
  <c r="E73" i="39"/>
  <c r="E72" i="39"/>
  <c r="E71" i="39"/>
  <c r="E70" i="39"/>
  <c r="E69" i="39"/>
  <c r="E68" i="39"/>
  <c r="E67" i="39"/>
  <c r="E66" i="39"/>
  <c r="E65" i="39"/>
  <c r="E64" i="39"/>
  <c r="E63" i="39"/>
  <c r="E62" i="39"/>
  <c r="E61" i="39"/>
  <c r="E60" i="39"/>
  <c r="E59" i="39"/>
  <c r="E58" i="39"/>
  <c r="E57" i="39"/>
  <c r="D80" i="39"/>
  <c r="D79" i="39"/>
  <c r="D78" i="39"/>
  <c r="D77" i="39"/>
  <c r="D76" i="39"/>
  <c r="D75" i="39"/>
  <c r="D74" i="39"/>
  <c r="D73" i="39"/>
  <c r="D72" i="39"/>
  <c r="D71" i="39"/>
  <c r="D70" i="39"/>
  <c r="D69" i="39"/>
  <c r="D68" i="39"/>
  <c r="D67" i="39"/>
  <c r="D66" i="39"/>
  <c r="D65" i="39"/>
  <c r="D64" i="39"/>
  <c r="D63" i="39"/>
  <c r="D62" i="39"/>
  <c r="D61" i="39"/>
  <c r="D60" i="39"/>
  <c r="D59" i="39"/>
  <c r="D58" i="39"/>
  <c r="D57" i="39"/>
  <c r="C80" i="39"/>
  <c r="C79" i="39"/>
  <c r="C78" i="39"/>
  <c r="C77" i="39"/>
  <c r="C76" i="39"/>
  <c r="C75" i="39"/>
  <c r="C74" i="39"/>
  <c r="C73" i="39"/>
  <c r="C72" i="39"/>
  <c r="C71" i="39"/>
  <c r="C70" i="39"/>
  <c r="C69" i="39"/>
  <c r="C68" i="39"/>
  <c r="C67" i="39"/>
  <c r="C66" i="39"/>
  <c r="C65" i="39"/>
  <c r="C64" i="39"/>
  <c r="C63" i="39"/>
  <c r="C62" i="39"/>
  <c r="C61" i="39"/>
  <c r="C60" i="39"/>
  <c r="C59" i="39"/>
  <c r="C58" i="39"/>
  <c r="C57" i="39"/>
  <c r="G47" i="39"/>
  <c r="G46" i="39"/>
  <c r="G45" i="39"/>
  <c r="G44" i="39"/>
  <c r="G43" i="39"/>
  <c r="G42" i="39"/>
  <c r="G41" i="39"/>
  <c r="G40" i="39"/>
  <c r="G39" i="39"/>
  <c r="G38" i="39"/>
  <c r="G37" i="39"/>
  <c r="G36" i="39"/>
  <c r="G35" i="39"/>
  <c r="G34" i="39"/>
  <c r="G33" i="39"/>
  <c r="G32" i="39"/>
  <c r="F44" i="39"/>
  <c r="F43" i="39"/>
  <c r="F42" i="39"/>
  <c r="F41" i="39"/>
  <c r="F40" i="39"/>
  <c r="F39" i="39"/>
  <c r="F38" i="39"/>
  <c r="F37" i="39"/>
  <c r="F36" i="39"/>
  <c r="F35" i="39"/>
  <c r="F34" i="39"/>
  <c r="F33" i="39"/>
  <c r="F32" i="39"/>
  <c r="E44" i="39"/>
  <c r="E42" i="39"/>
  <c r="E41" i="39"/>
  <c r="E40" i="39"/>
  <c r="E39" i="39"/>
  <c r="E38" i="39"/>
  <c r="E37" i="39"/>
  <c r="E36" i="39"/>
  <c r="E35" i="39"/>
  <c r="E34" i="39"/>
  <c r="E33" i="39"/>
  <c r="E32" i="39"/>
  <c r="D44" i="39"/>
  <c r="D43" i="39"/>
  <c r="D42" i="39"/>
  <c r="D41" i="39"/>
  <c r="D40" i="39"/>
  <c r="D39" i="39"/>
  <c r="D38" i="39"/>
  <c r="D37" i="39"/>
  <c r="D36" i="39"/>
  <c r="D35" i="39"/>
  <c r="D34" i="39"/>
  <c r="D33" i="39"/>
  <c r="D32" i="39"/>
  <c r="C44" i="39"/>
  <c r="C43" i="39"/>
  <c r="C42" i="39"/>
  <c r="C41" i="39"/>
  <c r="C40" i="39"/>
  <c r="C39" i="39"/>
  <c r="C38" i="39"/>
  <c r="C37" i="39"/>
  <c r="C36" i="39"/>
  <c r="C35" i="39"/>
  <c r="C34" i="39"/>
  <c r="D90" i="39"/>
  <c r="C33" i="39"/>
  <c r="C32" i="39"/>
  <c r="E51" i="66"/>
  <c r="D51" i="66"/>
  <c r="C51" i="66"/>
  <c r="B51" i="66"/>
  <c r="E42" i="66"/>
  <c r="D42" i="66"/>
  <c r="C42" i="66"/>
  <c r="B42" i="66"/>
  <c r="E33" i="66"/>
  <c r="D33" i="66"/>
  <c r="C33" i="66"/>
  <c r="B26" i="66"/>
  <c r="B33" i="66"/>
  <c r="E26" i="66"/>
  <c r="D26" i="66"/>
  <c r="C26" i="66"/>
  <c r="E15" i="66"/>
  <c r="D15" i="66"/>
  <c r="C15" i="66"/>
  <c r="B15" i="66"/>
  <c r="F45" i="66"/>
  <c r="F15" i="66"/>
  <c r="F51" i="66"/>
  <c r="E90" i="39"/>
  <c r="A2" i="18"/>
  <c r="D21" i="18"/>
  <c r="E28" i="18" s="1"/>
  <c r="C17" i="18"/>
  <c r="C18" i="18" s="1"/>
  <c r="D17" i="18"/>
  <c r="D18" i="18" s="1"/>
  <c r="C16" i="18"/>
  <c r="E16" i="18"/>
  <c r="E17" i="18"/>
  <c r="E18" i="18" s="1"/>
  <c r="D16" i="18"/>
  <c r="E107" i="39"/>
  <c r="F49" i="66"/>
  <c r="F48" i="66"/>
  <c r="F47" i="66"/>
  <c r="F46" i="66"/>
  <c r="F40" i="66"/>
  <c r="F39" i="66"/>
  <c r="F38" i="66"/>
  <c r="F37" i="66"/>
  <c r="F36" i="66"/>
  <c r="F42" i="66"/>
  <c r="F33" i="66"/>
  <c r="F31" i="66"/>
  <c r="F30" i="66"/>
  <c r="F29" i="66"/>
  <c r="F19" i="66"/>
  <c r="F20" i="66"/>
  <c r="F21" i="66"/>
  <c r="F22" i="66"/>
  <c r="F23" i="66"/>
  <c r="F26" i="66"/>
  <c r="F18" i="66"/>
  <c r="F8" i="66"/>
  <c r="F9" i="66"/>
  <c r="F10" i="66"/>
  <c r="F11" i="66"/>
  <c r="F12" i="66"/>
  <c r="F13" i="66"/>
  <c r="F50" i="66"/>
  <c r="F41" i="66"/>
  <c r="F43" i="66"/>
  <c r="F52" i="66"/>
  <c r="F32" i="66"/>
  <c r="D91" i="39"/>
  <c r="E91" i="39"/>
  <c r="D92" i="39"/>
  <c r="E92" i="39"/>
  <c r="D93" i="39"/>
  <c r="E93" i="39"/>
  <c r="D94" i="39"/>
  <c r="E94" i="39"/>
  <c r="D95" i="39"/>
  <c r="E95" i="39"/>
  <c r="D96" i="39"/>
  <c r="E96" i="39"/>
  <c r="D97" i="39"/>
  <c r="E97" i="39"/>
  <c r="D98" i="39"/>
  <c r="E98" i="39"/>
  <c r="D99" i="39"/>
  <c r="E99" i="39"/>
  <c r="D107" i="39"/>
  <c r="D108" i="39"/>
  <c r="E108" i="39"/>
  <c r="D109" i="39"/>
  <c r="E109" i="39"/>
  <c r="D110" i="39"/>
  <c r="E110" i="39"/>
  <c r="D111" i="39"/>
  <c r="E111" i="39"/>
  <c r="D112" i="39"/>
  <c r="E112" i="39"/>
  <c r="D113" i="39"/>
  <c r="E113" i="39"/>
  <c r="F34" i="66"/>
  <c r="D20" i="18"/>
  <c r="D28" i="18"/>
  <c r="G28" i="18" s="1"/>
  <c r="N48" i="12"/>
  <c r="N45" i="12"/>
  <c r="N46" i="12"/>
  <c r="N47" i="12"/>
  <c r="L45" i="12"/>
  <c r="L46" i="12"/>
  <c r="L47" i="12"/>
  <c r="L48" i="12"/>
  <c r="N44" i="12"/>
  <c r="N43" i="12"/>
  <c r="L44" i="12"/>
  <c r="L43" i="12"/>
  <c r="K47" i="12"/>
  <c r="I47" i="12"/>
  <c r="I45" i="12"/>
  <c r="C43" i="12"/>
  <c r="H48" i="12"/>
  <c r="F48" i="12"/>
  <c r="H45" i="12"/>
  <c r="E43" i="12"/>
  <c r="F45" i="12"/>
  <c r="C44" i="12"/>
  <c r="E44" i="12"/>
  <c r="D38" i="18"/>
  <c r="F24" i="66"/>
  <c r="F25" i="66"/>
  <c r="F27" i="66"/>
  <c r="D51" i="67"/>
  <c r="G31" i="18" l="1"/>
  <c r="G30" i="18"/>
  <c r="D32" i="18" s="1"/>
  <c r="G158" i="68"/>
  <c r="G159" i="68" s="1"/>
  <c r="G215" i="68"/>
  <c r="G272" i="68"/>
  <c r="G273" i="68" s="1"/>
  <c r="D51" i="68" s="1"/>
  <c r="G196" i="68"/>
  <c r="G197" i="68" s="1"/>
  <c r="D47" i="68" s="1"/>
  <c r="G28" i="54"/>
  <c r="G29" i="54"/>
  <c r="G24" i="54"/>
  <c r="C30" i="67"/>
  <c r="E30" i="67" s="1"/>
  <c r="H31" i="68"/>
  <c r="F35" i="68"/>
  <c r="G23" i="68"/>
  <c r="F96" i="54"/>
  <c r="B7" i="54"/>
  <c r="F109" i="68"/>
  <c r="D9" i="54" s="1"/>
  <c r="F97" i="54"/>
  <c r="F108" i="68"/>
  <c r="D8" i="54" s="1"/>
  <c r="F115" i="68"/>
  <c r="D15" i="54" s="1"/>
  <c r="G45" i="54"/>
  <c r="F98" i="54"/>
  <c r="D47" i="67"/>
  <c r="G44" i="54"/>
  <c r="G27" i="54"/>
  <c r="F112" i="54"/>
  <c r="C16" i="67"/>
  <c r="E16" i="67" s="1"/>
  <c r="G25" i="54"/>
  <c r="E26" i="54"/>
  <c r="G26" i="54" s="1"/>
  <c r="F94" i="54"/>
  <c r="G94" i="54" s="1"/>
  <c r="G10" i="54"/>
  <c r="C10" i="67"/>
  <c r="E10" i="67" s="1"/>
  <c r="H75" i="68"/>
  <c r="G234" i="68"/>
  <c r="G235" i="68" s="1"/>
  <c r="D49" i="68" s="1"/>
  <c r="G253" i="68"/>
  <c r="G254" i="68" s="1"/>
  <c r="D50" i="68" s="1"/>
  <c r="F56" i="68"/>
  <c r="B107" i="54" s="1"/>
  <c r="B105" i="54"/>
  <c r="F53" i="68"/>
  <c r="B92" i="54" s="1"/>
  <c r="B90" i="54"/>
  <c r="F52" i="68"/>
  <c r="B87" i="54" s="1"/>
  <c r="B85" i="54"/>
  <c r="G85" i="54" s="1"/>
  <c r="G177" i="68"/>
  <c r="D54" i="68"/>
  <c r="D55" i="68"/>
  <c r="G216" i="68"/>
  <c r="D48" i="68" s="1"/>
  <c r="E30" i="54" l="1"/>
  <c r="C29" i="67" s="1"/>
  <c r="E29" i="67" s="1"/>
  <c r="H16" i="68"/>
  <c r="G32" i="18"/>
  <c r="C32" i="18"/>
  <c r="D39" i="18" s="1"/>
  <c r="E39" i="18" s="1"/>
  <c r="G34" i="18"/>
  <c r="H78" i="68"/>
  <c r="B80" i="54"/>
  <c r="G80" i="54" s="1"/>
  <c r="B70" i="54"/>
  <c r="G70" i="54" s="1"/>
  <c r="G178" i="68"/>
  <c r="D46" i="68" s="1"/>
  <c r="F51" i="68"/>
  <c r="B82" i="54" s="1"/>
  <c r="F82" i="54" s="1"/>
  <c r="F47" i="68"/>
  <c r="B62" i="54" s="1"/>
  <c r="G62" i="54" s="1"/>
  <c r="G40" i="54"/>
  <c r="C38" i="67" s="1"/>
  <c r="E38" i="67" s="1"/>
  <c r="F49" i="68"/>
  <c r="B72" i="54" s="1"/>
  <c r="F72" i="54" s="1"/>
  <c r="E57" i="68"/>
  <c r="B111" i="54" s="1"/>
  <c r="G111" i="54" s="1"/>
  <c r="E52" i="68"/>
  <c r="B86" i="54" s="1"/>
  <c r="G86" i="54" s="1"/>
  <c r="E51" i="68"/>
  <c r="B81" i="54" s="1"/>
  <c r="F81" i="54" s="1"/>
  <c r="E53" i="68"/>
  <c r="B91" i="54" s="1"/>
  <c r="G91" i="54" s="1"/>
  <c r="E56" i="68"/>
  <c r="B106" i="54" s="1"/>
  <c r="F106" i="54" s="1"/>
  <c r="E49" i="68"/>
  <c r="B71" i="54" s="1"/>
  <c r="G71" i="54" s="1"/>
  <c r="E47" i="68"/>
  <c r="B61" i="54" s="1"/>
  <c r="F61" i="54" s="1"/>
  <c r="B75" i="54"/>
  <c r="G75" i="54" s="1"/>
  <c r="F50" i="68"/>
  <c r="B77" i="54" s="1"/>
  <c r="F77" i="54" s="1"/>
  <c r="E50" i="68"/>
  <c r="B76" i="54" s="1"/>
  <c r="F76" i="54" s="1"/>
  <c r="F87" i="54"/>
  <c r="G87" i="54"/>
  <c r="G92" i="54"/>
  <c r="F92" i="54"/>
  <c r="G107" i="54"/>
  <c r="F107" i="54"/>
  <c r="E55" i="68"/>
  <c r="B101" i="54" s="1"/>
  <c r="F55" i="68"/>
  <c r="B102" i="54" s="1"/>
  <c r="B100" i="54"/>
  <c r="G105" i="54"/>
  <c r="E54" i="68"/>
  <c r="F54" i="68"/>
  <c r="G90" i="54"/>
  <c r="E48" i="68"/>
  <c r="B66" i="54" s="1"/>
  <c r="B65" i="54"/>
  <c r="F48" i="68"/>
  <c r="B67" i="54" s="1"/>
  <c r="G39" i="68" l="1"/>
  <c r="H38" i="68" s="1"/>
  <c r="G30" i="54"/>
  <c r="G41" i="18"/>
  <c r="H89" i="68"/>
  <c r="G89" i="68" s="1"/>
  <c r="B55" i="54"/>
  <c r="G55" i="54" s="1"/>
  <c r="E46" i="68"/>
  <c r="B56" i="54" s="1"/>
  <c r="G82" i="54"/>
  <c r="B60" i="54"/>
  <c r="G60" i="54" s="1"/>
  <c r="F86" i="54"/>
  <c r="G34" i="68"/>
  <c r="F62" i="54"/>
  <c r="G81" i="54"/>
  <c r="F91" i="54"/>
  <c r="G72" i="54"/>
  <c r="G61" i="54"/>
  <c r="G106" i="54"/>
  <c r="G36" i="68"/>
  <c r="D59" i="68"/>
  <c r="F111" i="54"/>
  <c r="G35" i="68"/>
  <c r="G3" i="54"/>
  <c r="H131" i="68"/>
  <c r="F47" i="54" s="1"/>
  <c r="C45" i="67" s="1"/>
  <c r="E45" i="67" s="1"/>
  <c r="G37" i="68"/>
  <c r="F71" i="54"/>
  <c r="G77" i="54"/>
  <c r="G76" i="54"/>
  <c r="G66" i="54"/>
  <c r="F66" i="54"/>
  <c r="F101" i="54"/>
  <c r="G101" i="54"/>
  <c r="G100" i="54"/>
  <c r="F67" i="54"/>
  <c r="G67" i="54"/>
  <c r="F102" i="54"/>
  <c r="G102" i="54"/>
  <c r="G65" i="54"/>
  <c r="H91" i="68" l="1"/>
  <c r="H92" i="68" s="1"/>
  <c r="B57" i="54"/>
  <c r="F57" i="54" s="1"/>
  <c r="G47" i="54"/>
  <c r="H33" i="68"/>
  <c r="F59" i="68"/>
  <c r="G56" i="54"/>
  <c r="F56" i="54"/>
  <c r="G41" i="68" l="1"/>
  <c r="H40" i="68"/>
  <c r="H42" i="68" s="1"/>
  <c r="F93" i="68"/>
  <c r="H93" i="68" s="1"/>
  <c r="G57" i="54"/>
  <c r="J3" i="12"/>
  <c r="K2" i="12" s="1"/>
  <c r="L2" i="12" s="1"/>
  <c r="F98" i="68" s="1"/>
  <c r="E59" i="68"/>
  <c r="G47" i="68" l="1"/>
  <c r="B63" i="54" s="1"/>
  <c r="F59" i="54" s="1"/>
  <c r="G59" i="54" s="1"/>
  <c r="G46" i="68"/>
  <c r="B58" i="54" s="1"/>
  <c r="H95" i="68"/>
  <c r="F32" i="54" s="1"/>
  <c r="G32" i="54" s="1"/>
  <c r="G55" i="68"/>
  <c r="B103" i="54" s="1"/>
  <c r="G54" i="68"/>
  <c r="H54" i="68" s="1"/>
  <c r="G57" i="68"/>
  <c r="H57" i="68" s="1"/>
  <c r="G53" i="68"/>
  <c r="H53" i="68" s="1"/>
  <c r="G52" i="68"/>
  <c r="B88" i="54" s="1"/>
  <c r="F88" i="54" s="1"/>
  <c r="G56" i="68"/>
  <c r="B108" i="54" s="1"/>
  <c r="F104" i="54" s="1"/>
  <c r="G104" i="54" s="1"/>
  <c r="G51" i="68"/>
  <c r="B83" i="54" s="1"/>
  <c r="F83" i="54" s="1"/>
  <c r="G50" i="68"/>
  <c r="B78" i="54" s="1"/>
  <c r="G49" i="68"/>
  <c r="G48" i="68"/>
  <c r="H48" i="68" s="1"/>
  <c r="F97" i="68" l="1"/>
  <c r="H96" i="68"/>
  <c r="B73" i="54"/>
  <c r="F73" i="54" s="1"/>
  <c r="H49" i="68"/>
  <c r="B113" i="54"/>
  <c r="G113" i="54" s="1"/>
  <c r="B68" i="54"/>
  <c r="G68" i="54" s="1"/>
  <c r="F108" i="54"/>
  <c r="G88" i="54"/>
  <c r="F79" i="54"/>
  <c r="G79" i="54" s="1"/>
  <c r="H52" i="68"/>
  <c r="H55" i="68"/>
  <c r="H50" i="68"/>
  <c r="H47" i="68"/>
  <c r="F63" i="54"/>
  <c r="G83" i="54"/>
  <c r="G63" i="54"/>
  <c r="G108" i="54"/>
  <c r="H46" i="68"/>
  <c r="F54" i="54" s="1"/>
  <c r="G54" i="54" s="1"/>
  <c r="G59" i="68"/>
  <c r="H51" i="68"/>
  <c r="H56" i="68"/>
  <c r="B93" i="54"/>
  <c r="F93" i="54" s="1"/>
  <c r="F78" i="54"/>
  <c r="G78" i="54"/>
  <c r="F74" i="54"/>
  <c r="G74" i="54" s="1"/>
  <c r="G58" i="54"/>
  <c r="F58" i="54"/>
  <c r="F99" i="54"/>
  <c r="G99" i="54" s="1"/>
  <c r="G103" i="54"/>
  <c r="F103" i="54"/>
  <c r="F69" i="54" l="1"/>
  <c r="G69" i="54" s="1"/>
  <c r="H98" i="68"/>
  <c r="G33" i="54" s="1"/>
  <c r="F109" i="54"/>
  <c r="G109" i="54" s="1"/>
  <c r="F113" i="54"/>
  <c r="G73" i="54"/>
  <c r="F64" i="54"/>
  <c r="G64" i="54" s="1"/>
  <c r="H59" i="68"/>
  <c r="F68" i="54"/>
  <c r="G93" i="54"/>
  <c r="F89" i="54"/>
  <c r="G89" i="54" s="1"/>
  <c r="F113" i="68"/>
  <c r="G53" i="54" l="1"/>
  <c r="D13" i="54"/>
  <c r="G118" i="54" l="1"/>
  <c r="H97" i="68"/>
  <c r="F23" i="54" l="1"/>
  <c r="H67" i="68"/>
  <c r="G22" i="54" s="1"/>
  <c r="F112" i="68" l="1"/>
  <c r="D12" i="54" s="1"/>
  <c r="C22" i="67"/>
  <c r="E22" i="67" s="1"/>
  <c r="C23" i="67"/>
  <c r="E23" i="67" s="1"/>
  <c r="G23" i="54"/>
  <c r="F117" i="68"/>
  <c r="H117" i="68" s="1"/>
  <c r="F17" i="54" s="1"/>
  <c r="G17" i="54" s="1"/>
  <c r="H103" i="68"/>
  <c r="F38" i="54" s="1"/>
  <c r="H132" i="68"/>
  <c r="F48" i="54" s="1"/>
  <c r="H104" i="68"/>
  <c r="F39" i="54" s="1"/>
  <c r="G39" i="54" s="1"/>
  <c r="H101" i="68"/>
  <c r="F36" i="54" s="1"/>
  <c r="H102" i="68"/>
  <c r="F37" i="54" s="1"/>
  <c r="H113" i="68"/>
  <c r="E13" i="54" s="1"/>
  <c r="A3" i="54"/>
  <c r="H136" i="68"/>
  <c r="F52" i="54" s="1"/>
  <c r="H100" i="68"/>
  <c r="H114" i="68"/>
  <c r="E14" i="54" s="1"/>
  <c r="H109" i="68"/>
  <c r="E9" i="54" s="1"/>
  <c r="H135" i="68"/>
  <c r="F51" i="54" s="1"/>
  <c r="D106" i="68"/>
  <c r="F107" i="68" s="1"/>
  <c r="H108" i="68"/>
  <c r="E8" i="54" s="1"/>
  <c r="H115" i="68"/>
  <c r="E15" i="54" s="1"/>
  <c r="H134" i="68"/>
  <c r="H112" i="68" l="1"/>
  <c r="H111" i="68" s="1"/>
  <c r="F11" i="54" s="1"/>
  <c r="G11" i="54" s="1"/>
  <c r="H133" i="68"/>
  <c r="G49" i="54" s="1"/>
  <c r="C47" i="67" s="1"/>
  <c r="E47" i="67" s="1"/>
  <c r="C36" i="67"/>
  <c r="E36" i="67" s="1"/>
  <c r="G37" i="54"/>
  <c r="C35" i="67"/>
  <c r="E35" i="67" s="1"/>
  <c r="G36" i="54"/>
  <c r="C15" i="67"/>
  <c r="E15" i="67" s="1"/>
  <c r="G15" i="54"/>
  <c r="F35" i="54"/>
  <c r="H99" i="68"/>
  <c r="G52" i="54"/>
  <c r="C50" i="67"/>
  <c r="E50" i="67" s="1"/>
  <c r="C46" i="67"/>
  <c r="E46" i="67" s="1"/>
  <c r="G48" i="54"/>
  <c r="G38" i="54"/>
  <c r="C37" i="67"/>
  <c r="E37" i="67" s="1"/>
  <c r="G9" i="54"/>
  <c r="C9" i="67"/>
  <c r="E9" i="67" s="1"/>
  <c r="D7" i="54"/>
  <c r="H107" i="68"/>
  <c r="D7" i="67"/>
  <c r="D5" i="67" s="1"/>
  <c r="G51" i="54"/>
  <c r="C49" i="67"/>
  <c r="E49" i="67" s="1"/>
  <c r="F50" i="54"/>
  <c r="C14" i="67"/>
  <c r="E14" i="67" s="1"/>
  <c r="G14" i="54"/>
  <c r="C8" i="67"/>
  <c r="E8" i="67" s="1"/>
  <c r="G8" i="54"/>
  <c r="C13" i="67"/>
  <c r="E13" i="67" s="1"/>
  <c r="G13" i="54"/>
  <c r="E12" i="54" l="1"/>
  <c r="G12" i="54" s="1"/>
  <c r="G34" i="54"/>
  <c r="C33" i="67" s="1"/>
  <c r="E33" i="67" s="1"/>
  <c r="C48" i="67"/>
  <c r="E48" i="67" s="1"/>
  <c r="G50" i="54"/>
  <c r="C34" i="67"/>
  <c r="E34" i="67" s="1"/>
  <c r="G35" i="54"/>
  <c r="H106" i="68"/>
  <c r="E7" i="54"/>
  <c r="C12" i="67" l="1"/>
  <c r="E12" i="67" s="1"/>
  <c r="C7" i="67"/>
  <c r="E7" i="67" s="1"/>
  <c r="G7" i="54"/>
  <c r="F6" i="54"/>
  <c r="G6" i="54" s="1"/>
  <c r="H105" i="68"/>
  <c r="G5" i="54" l="1"/>
  <c r="H130" i="68"/>
  <c r="F127" i="68" s="1"/>
  <c r="H127" i="68" s="1"/>
  <c r="H126" i="68" l="1"/>
  <c r="F46" i="54"/>
  <c r="C5" i="67"/>
  <c r="F43" i="54" l="1"/>
  <c r="G43" i="54" s="1"/>
  <c r="E5" i="67"/>
  <c r="C44" i="67"/>
  <c r="E44" i="67" s="1"/>
  <c r="G46" i="54"/>
  <c r="C41" i="67" l="1"/>
  <c r="G42" i="54"/>
  <c r="D52" i="67"/>
  <c r="D41" i="67" s="1"/>
  <c r="C40" i="67" l="1"/>
  <c r="C53" i="67" s="1"/>
  <c r="G117" i="54"/>
  <c r="B7" i="66" s="1"/>
  <c r="F7" i="66" s="1"/>
  <c r="F14" i="66" s="1"/>
  <c r="F16" i="66" s="1"/>
  <c r="F54" i="66" s="1"/>
  <c r="G115" i="54" s="1"/>
  <c r="G119" i="54" s="1"/>
  <c r="E41" i="67"/>
  <c r="D40" i="67"/>
  <c r="D53" i="67" s="1"/>
  <c r="D54" i="67" s="1"/>
  <c r="H137" i="68" l="1"/>
  <c r="G62" i="68" s="1"/>
  <c r="E40" i="67"/>
  <c r="E53" i="67"/>
  <c r="C54" i="67"/>
  <c r="E54" i="6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tc={7CF9765E-E5F1-4146-A3D2-D93F1E02AA5E}</author>
  </authors>
  <commentList>
    <comment ref="C132" authorId="0" shapeId="0" xr:uid="{7CF9765E-E5F1-4146-A3D2-D93F1E02AA5E}">
      <text>
        <t>[Threaded comment]
Your version of Excel allows you to read this threaded comment; however, any edits to it will get removed if the file is opened in a newer version of Excel. Learn more: https://go.microsoft.com/fwlink/?linkid=870924
Comment:
    Expected costs during construction for PO work: Wireless Access Points, Public Safety, Construction Cameras, etc</t>
      </text>
    </comment>
  </commentList>
</comments>
</file>

<file path=xl/sharedStrings.xml><?xml version="1.0" encoding="utf-8"?>
<sst xmlns="http://schemas.openxmlformats.org/spreadsheetml/2006/main" count="1370" uniqueCount="650">
  <si>
    <t>Athletic</t>
  </si>
  <si>
    <t>HIGH</t>
  </si>
  <si>
    <t>MED</t>
  </si>
  <si>
    <t>LOW</t>
  </si>
  <si>
    <t>COSTS/SF</t>
  </si>
  <si>
    <t>Renov</t>
  </si>
  <si>
    <t>Basic Consultants</t>
  </si>
  <si>
    <t>Structural, mechanical, plumbing, HVAC, electrical, sprinkler, air &amp; water balance, soils engineer, civil,</t>
  </si>
  <si>
    <t>and landscape are considered to be part of basic fee or reimbursables.  Interiors/FF&amp;E are handled</t>
  </si>
  <si>
    <t>in a separate section.</t>
  </si>
  <si>
    <t>Consultants to be Added</t>
  </si>
  <si>
    <t>Primary Consultants</t>
  </si>
  <si>
    <t>Veterinary</t>
  </si>
  <si>
    <t>Medical planner</t>
  </si>
  <si>
    <t>Kitchen</t>
  </si>
  <si>
    <t>Lab planning</t>
  </si>
  <si>
    <t>Library</t>
  </si>
  <si>
    <t>Museum</t>
  </si>
  <si>
    <t>Theatre</t>
  </si>
  <si>
    <t>Music</t>
  </si>
  <si>
    <t>Sports &amp; Recreation</t>
  </si>
  <si>
    <t>Other</t>
  </si>
  <si>
    <t>Traffic (Transportation &amp; Parking)</t>
  </si>
  <si>
    <t>Materials</t>
  </si>
  <si>
    <t>Robotics</t>
  </si>
  <si>
    <t>Historic</t>
  </si>
  <si>
    <t>Acoustic/Sound Engineers</t>
  </si>
  <si>
    <t>Graphics/Photography</t>
  </si>
  <si>
    <t>Urban Designer</t>
  </si>
  <si>
    <t>Code Consultant</t>
  </si>
  <si>
    <t>Legal</t>
  </si>
  <si>
    <t>Special Lighting Consultant</t>
  </si>
  <si>
    <t>Secondary Consultants</t>
  </si>
  <si>
    <t>Comment</t>
  </si>
  <si>
    <t>Fee Increase</t>
  </si>
  <si>
    <t>0 or 1</t>
  </si>
  <si>
    <t>2 or more</t>
  </si>
  <si>
    <t>One is considered as part of difficulty</t>
  </si>
  <si>
    <t>factor in fee schedule.</t>
  </si>
  <si>
    <t>each</t>
  </si>
  <si>
    <t>Maximum of 1.00%</t>
  </si>
  <si>
    <t>Stand-Alone Consultants</t>
  </si>
  <si>
    <t>Supplemental Specialized Architect</t>
  </si>
  <si>
    <t>Hazardous Materials Consultant</t>
  </si>
  <si>
    <t>Admin Fee</t>
  </si>
  <si>
    <t>FOD</t>
  </si>
  <si>
    <t>Fall Protection</t>
  </si>
  <si>
    <t>Projects with ONLY Local Funds</t>
  </si>
  <si>
    <t>1.  Fee is charged for amounts in each dollar range.</t>
  </si>
  <si>
    <t>Chart of Basic Services Fees - July 1, 2007</t>
  </si>
  <si>
    <t>|----------------</t>
  </si>
  <si>
    <t>Percentage Fees by Type of Project Complexity</t>
  </si>
  <si>
    <t>----------------|</t>
  </si>
  <si>
    <r>
      <t xml:space="preserve">(Pct values appearing in more than one cost range are shown in </t>
    </r>
    <r>
      <rPr>
        <i/>
        <sz val="10"/>
        <color indexed="30"/>
        <rFont val="Arial"/>
        <family val="2"/>
      </rPr>
      <t>italics</t>
    </r>
    <r>
      <rPr>
        <sz val="10"/>
        <rFont val="Arial"/>
        <family val="2"/>
      </rPr>
      <t>.)</t>
    </r>
  </si>
  <si>
    <t>Const Cost</t>
  </si>
  <si>
    <t>($1000's)</t>
  </si>
  <si>
    <t>New Const</t>
  </si>
  <si>
    <t xml:space="preserve">     structural, or design criteria.  Examples:  classrooms, admin offices, dorms</t>
  </si>
  <si>
    <t xml:space="preserve">     or analysis.  Examples:  research labs, libraries, health care facilities, theatres,</t>
  </si>
  <si>
    <t xml:space="preserve">     museums, sports complexes, student unions</t>
  </si>
  <si>
    <r>
      <rPr>
        <b/>
        <sz val="10"/>
        <rFont val="Arial"/>
        <family val="2"/>
      </rPr>
      <t>Type A Project:</t>
    </r>
    <r>
      <rPr>
        <sz val="10"/>
        <rFont val="Arial"/>
        <family val="2"/>
      </rPr>
      <t xml:space="preserve">  Buildings of </t>
    </r>
    <r>
      <rPr>
        <b/>
        <sz val="10"/>
        <rFont val="Arial"/>
        <family val="2"/>
      </rPr>
      <t>average</t>
    </r>
    <r>
      <rPr>
        <sz val="10"/>
        <rFont val="Arial"/>
        <family val="2"/>
      </rPr>
      <t xml:space="preserve"> complexity w/o any extensive mechanical/electrical systems,</t>
    </r>
  </si>
  <si>
    <r>
      <rPr>
        <b/>
        <sz val="10"/>
        <rFont val="Arial"/>
        <family val="2"/>
      </rPr>
      <t>Type B Project:</t>
    </r>
    <r>
      <rPr>
        <sz val="10"/>
        <rFont val="Arial"/>
        <family val="2"/>
      </rPr>
      <t xml:space="preserve">  </t>
    </r>
    <r>
      <rPr>
        <b/>
        <sz val="10"/>
        <rFont val="Arial"/>
        <family val="2"/>
      </rPr>
      <t>Difficult</t>
    </r>
    <r>
      <rPr>
        <sz val="10"/>
        <rFont val="Arial"/>
        <family val="2"/>
      </rPr>
      <t xml:space="preserve"> buildings of specialized architectural character or requiring special study</t>
    </r>
  </si>
  <si>
    <t xml:space="preserve">     Examples:  Historical restoration, memorial facilities, individual custom residential</t>
  </si>
  <si>
    <r>
      <rPr>
        <b/>
        <sz val="10"/>
        <rFont val="Arial"/>
        <family val="2"/>
      </rPr>
      <t>Type C Project:</t>
    </r>
    <r>
      <rPr>
        <sz val="10"/>
        <rFont val="Arial"/>
        <family val="2"/>
      </rPr>
      <t xml:space="preserve">  Buildings of an </t>
    </r>
    <r>
      <rPr>
        <b/>
        <sz val="10"/>
        <rFont val="Arial"/>
        <family val="2"/>
      </rPr>
      <t>historical, memorial</t>
    </r>
    <r>
      <rPr>
        <sz val="10"/>
        <rFont val="Arial"/>
        <family val="2"/>
      </rPr>
      <t>, or monumental nature</t>
    </r>
  </si>
  <si>
    <t>at least</t>
  </si>
  <si>
    <t>TCC</t>
  </si>
  <si>
    <t>Address</t>
  </si>
  <si>
    <t>City</t>
  </si>
  <si>
    <t>Permit</t>
  </si>
  <si>
    <t>SF</t>
  </si>
  <si>
    <t>Project Coordination</t>
  </si>
  <si>
    <t>A-Average</t>
  </si>
  <si>
    <t>Signage</t>
  </si>
  <si>
    <t>Estimated years to starting date of construction:</t>
  </si>
  <si>
    <t>years</t>
  </si>
  <si>
    <t>Percentage Inflation Rate per annum is:</t>
  </si>
  <si>
    <t>Total Inflation Factor with compounding:</t>
  </si>
  <si>
    <t>B-Difficult</t>
  </si>
  <si>
    <t>C-Hist/Memorial</t>
  </si>
  <si>
    <t>Commissioning</t>
  </si>
  <si>
    <t>New Construction</t>
  </si>
  <si>
    <t>Cost of Construction</t>
  </si>
  <si>
    <t>Pre-Con Stage Comp</t>
  </si>
  <si>
    <t>CMR General Conditions</t>
  </si>
  <si>
    <t>Cost of Construction    (At least this much)</t>
  </si>
  <si>
    <t>CMR Fee Lookup Table</t>
  </si>
  <si>
    <t>FOD Fee Lookup Table</t>
  </si>
  <si>
    <t>DB General Conditions</t>
  </si>
  <si>
    <t>Design Build Lookup Table</t>
  </si>
  <si>
    <t xml:space="preserve">                    </t>
  </si>
  <si>
    <t xml:space="preserve">                     </t>
  </si>
  <si>
    <t>Purple = Reference tabs</t>
  </si>
  <si>
    <t>Renovation</t>
  </si>
  <si>
    <t>DB Fee</t>
  </si>
  <si>
    <t>Contingency</t>
  </si>
  <si>
    <t>Equipment</t>
  </si>
  <si>
    <t>Red = Budget Instructions</t>
  </si>
  <si>
    <t>Customer</t>
  </si>
  <si>
    <t>Type of Space</t>
  </si>
  <si>
    <t>Classroom</t>
  </si>
  <si>
    <t>Difficulty Level</t>
  </si>
  <si>
    <t>Cost per Square Foot</t>
  </si>
  <si>
    <t>Total Cost</t>
  </si>
  <si>
    <t>Low</t>
  </si>
  <si>
    <t>Rules of the Road</t>
  </si>
  <si>
    <t>Spreadsheet tabs are color coded:</t>
  </si>
  <si>
    <t>Where to begin:</t>
  </si>
  <si>
    <t>New</t>
  </si>
  <si>
    <t>New/
Renovation</t>
  </si>
  <si>
    <t>Utility</t>
  </si>
  <si>
    <t>Commissioning Fees Lookup Table</t>
  </si>
  <si>
    <t xml:space="preserve">Budget Range 
</t>
  </si>
  <si>
    <t>High</t>
  </si>
  <si>
    <t>Avg</t>
  </si>
  <si>
    <t>&lt;</t>
  </si>
  <si>
    <t>&gt;</t>
  </si>
  <si>
    <t>&lt;=</t>
  </si>
  <si>
    <t>Additional Services</t>
  </si>
  <si>
    <t>LEED</t>
  </si>
  <si>
    <t>Medium</t>
  </si>
  <si>
    <t>Classrooms</t>
  </si>
  <si>
    <t>Light Labs</t>
  </si>
  <si>
    <t>Office</t>
  </si>
  <si>
    <t xml:space="preserve">Hospital </t>
  </si>
  <si>
    <t>Light Lab</t>
  </si>
  <si>
    <t>Medium Lab</t>
  </si>
  <si>
    <t>Heavy Lab</t>
  </si>
  <si>
    <t>Residence Hall</t>
  </si>
  <si>
    <t>Athletics</t>
  </si>
  <si>
    <t>Mechanical</t>
  </si>
  <si>
    <t>Greenhouse</t>
  </si>
  <si>
    <t>Animal Bed</t>
  </si>
  <si>
    <t>Parking</t>
  </si>
  <si>
    <t>Hangar</t>
  </si>
  <si>
    <t>Benchmark Cost per Square Foot</t>
  </si>
  <si>
    <t xml:space="preserve">Average Costs for Remodel Construction Projects in 2013 Dollars </t>
  </si>
  <si>
    <t>Space Type</t>
  </si>
  <si>
    <t>Org. Date</t>
  </si>
  <si>
    <t>Total Construction Costs</t>
  </si>
  <si>
    <t>Total Project Costs</t>
  </si>
  <si>
    <t>Example Projects</t>
  </si>
  <si>
    <t>Fisher College of Bus Ph 1</t>
  </si>
  <si>
    <t>Stillman Hall Room 100</t>
  </si>
  <si>
    <t>Fisher College of Bus Ph 2</t>
  </si>
  <si>
    <t>Smith Lab learning Space</t>
  </si>
  <si>
    <t>Knowlton School of Arch</t>
  </si>
  <si>
    <t>Smith Lab Suite 277 Computer Lab</t>
  </si>
  <si>
    <t>Science Building     Quandel</t>
  </si>
  <si>
    <t>Mason Hall</t>
  </si>
  <si>
    <t>Community College     Quandel</t>
  </si>
  <si>
    <t>Wexner Education Space</t>
  </si>
  <si>
    <t>Liebert Learning Center     Quandel</t>
  </si>
  <si>
    <t>Sinclair Reno     Quandel</t>
  </si>
  <si>
    <t>Scripps Renovation     Quandel</t>
  </si>
  <si>
    <t>Parker Food Science</t>
  </si>
  <si>
    <t>Cunz Hall</t>
  </si>
  <si>
    <t>Psychology Building</t>
  </si>
  <si>
    <t>James Radiation Oncology</t>
  </si>
  <si>
    <t>Campbell Hall Rm 213</t>
  </si>
  <si>
    <t>Parker Food Science Basement</t>
  </si>
  <si>
    <t>Fry Hall Pre Clinic</t>
  </si>
  <si>
    <t>Medium labs</t>
  </si>
  <si>
    <t>Fry Hall Addition</t>
  </si>
  <si>
    <t xml:space="preserve">College of Med Addition </t>
  </si>
  <si>
    <t>Sisson Hall Replacement</t>
  </si>
  <si>
    <t>Morehouse 1st Floor lab</t>
  </si>
  <si>
    <t>PT/OT Classroom Building     Quandel</t>
  </si>
  <si>
    <t>Bio Sci 3rd floor renovation</t>
  </si>
  <si>
    <t>Bio Sci 5th &amp; 9th Floor reno</t>
  </si>
  <si>
    <t>Jennings Hall Renovation</t>
  </si>
  <si>
    <t>Heavy labs</t>
  </si>
  <si>
    <t>Robinson Lab</t>
  </si>
  <si>
    <t>McPherson Lab Renovation</t>
  </si>
  <si>
    <t>Aronoff Lab</t>
  </si>
  <si>
    <t>James Linnear Accelerator</t>
  </si>
  <si>
    <t>Newman Wolfram</t>
  </si>
  <si>
    <t>UHE Nuclear Med Lab Reno</t>
  </si>
  <si>
    <t>CBEC</t>
  </si>
  <si>
    <t>Vet Hosp SAOP</t>
  </si>
  <si>
    <t>Bio Med Research Tower</t>
  </si>
  <si>
    <t>Col Police Crime Lab     Quandel</t>
  </si>
  <si>
    <t>Physical Science Research Building</t>
  </si>
  <si>
    <t>4 - H Center</t>
  </si>
  <si>
    <t>Journalism Offices</t>
  </si>
  <si>
    <t>Library Book Depository 1</t>
  </si>
  <si>
    <t>Mendenhall A&amp;S office</t>
  </si>
  <si>
    <t>Library Book Depository 2</t>
  </si>
  <si>
    <t>Prior Library Offices</t>
  </si>
  <si>
    <t xml:space="preserve">Longaberger Alumni </t>
  </si>
  <si>
    <t>Lincoln Tower Bio Informatics</t>
  </si>
  <si>
    <t>Younkin Success Center</t>
  </si>
  <si>
    <t>Goss Lab Room 302</t>
  </si>
  <si>
    <t>Student Academic Services</t>
  </si>
  <si>
    <t>910 Building Renovation     Quandel</t>
  </si>
  <si>
    <t>Hospital</t>
  </si>
  <si>
    <t>OSU Critical Care Tower</t>
  </si>
  <si>
    <t>Wiseman Hall Addition</t>
  </si>
  <si>
    <t>Ross Heart Hospital</t>
  </si>
  <si>
    <t>Dodd Hall Reno Various Rooms</t>
  </si>
  <si>
    <t>Davis Heart and Lung</t>
  </si>
  <si>
    <t>UHE 5 West Renovation</t>
  </si>
  <si>
    <t>New Hospital     Quandel</t>
  </si>
  <si>
    <t xml:space="preserve">Morehouse 7th and 8th Floor </t>
  </si>
  <si>
    <t>New Ambulatory Facility     Quandel</t>
  </si>
  <si>
    <t>OR Suite Renovations     Quandel</t>
  </si>
  <si>
    <t>Clinical Space Renovations     Quandel</t>
  </si>
  <si>
    <t>Univ Texas Buena Vista Building</t>
  </si>
  <si>
    <t>Mansfield Bromfield Library</t>
  </si>
  <si>
    <t>Science and Eng Library Reno</t>
  </si>
  <si>
    <t>Sullivant Hall Reno</t>
  </si>
  <si>
    <t xml:space="preserve">Thompson Library </t>
  </si>
  <si>
    <t>Lodi Library     Quandel</t>
  </si>
  <si>
    <t>Blackmore Library Reno     Quandel</t>
  </si>
  <si>
    <t>Student Life Residence Halls</t>
  </si>
  <si>
    <t>Grad and Professional Student Housing</t>
  </si>
  <si>
    <t>McDonald Hall Renovations     Quandel</t>
  </si>
  <si>
    <t>Hall Complex</t>
  </si>
  <si>
    <t>Student Apartment Project     Quandel</t>
  </si>
  <si>
    <t>New Residence Hall     Quandel</t>
  </si>
  <si>
    <t>New MET Residence Hall     Quandel</t>
  </si>
  <si>
    <t>New Res Hall/Dining Facility     Quandel</t>
  </si>
  <si>
    <t>Athletics Projects</t>
  </si>
  <si>
    <t>Schott Practice Facility</t>
  </si>
  <si>
    <t>Varsity Tennis Facility</t>
  </si>
  <si>
    <t>WHAC Renovation</t>
  </si>
  <si>
    <t>Mechanical Projects</t>
  </si>
  <si>
    <t>TBD</t>
  </si>
  <si>
    <t>Research Greenhouse</t>
  </si>
  <si>
    <t>Hanger</t>
  </si>
  <si>
    <t>Average</t>
  </si>
  <si>
    <t>Percent</t>
  </si>
  <si>
    <t>Type of Project</t>
  </si>
  <si>
    <t>Sub-Total by Type</t>
  </si>
  <si>
    <t xml:space="preserve">Project Budget cells are color coded. </t>
  </si>
  <si>
    <t>Technology</t>
  </si>
  <si>
    <t>Fee</t>
  </si>
  <si>
    <t>Project Name</t>
  </si>
  <si>
    <t>OSU-######</t>
  </si>
  <si>
    <t>Total Construction Cost (TCC)</t>
  </si>
  <si>
    <t>Benchmark Cost per Square Foot (OSU)
Backup Projects</t>
  </si>
  <si>
    <t>General Classroom</t>
  </si>
  <si>
    <t>Lecture Hall</t>
  </si>
  <si>
    <t>Light Wet Lab</t>
  </si>
  <si>
    <t>Light Dry Lab</t>
  </si>
  <si>
    <t>Med Wet Lab</t>
  </si>
  <si>
    <t>Med Dry Lab</t>
  </si>
  <si>
    <t>Heavy Wet Lab</t>
  </si>
  <si>
    <t>Heavy Dry Lab</t>
  </si>
  <si>
    <t>Open Office</t>
  </si>
  <si>
    <t>Closed Office</t>
  </si>
  <si>
    <t>Patient Room</t>
  </si>
  <si>
    <t>Surgery</t>
  </si>
  <si>
    <t>Imaging</t>
  </si>
  <si>
    <t>Outpatient &amp; Ambulatory</t>
  </si>
  <si>
    <t>Outpatent Cancer</t>
  </si>
  <si>
    <t>Support Staff</t>
  </si>
  <si>
    <t>Pre/Post OP, Critical Care</t>
  </si>
  <si>
    <t>Finish</t>
  </si>
  <si>
    <t>Light</t>
  </si>
  <si>
    <t>Med</t>
  </si>
  <si>
    <t>Heavy</t>
  </si>
  <si>
    <t>&lt;5k sf +</t>
  </si>
  <si>
    <t xml:space="preserve">Moves &amp; Storage </t>
  </si>
  <si>
    <t>Storage</t>
  </si>
  <si>
    <t>Servers / Switches</t>
  </si>
  <si>
    <t>Infrastructure / Wireless</t>
  </si>
  <si>
    <t xml:space="preserve">AV / Digital Display </t>
  </si>
  <si>
    <t>Clinical Engineering</t>
  </si>
  <si>
    <t>Minor Equipment</t>
  </si>
  <si>
    <t>Major Moveable Equipment</t>
  </si>
  <si>
    <t xml:space="preserve">Security </t>
  </si>
  <si>
    <t>Consultant</t>
  </si>
  <si>
    <t>Fund:___________ Org: ________   Acct: ________</t>
  </si>
  <si>
    <t xml:space="preserve">Construction </t>
  </si>
  <si>
    <t xml:space="preserve">Original Estimate </t>
  </si>
  <si>
    <t xml:space="preserve">Change </t>
  </si>
  <si>
    <t>FOD Estimate</t>
  </si>
  <si>
    <t xml:space="preserve">Mechanical </t>
  </si>
  <si>
    <t xml:space="preserve">Electrical </t>
  </si>
  <si>
    <t xml:space="preserve">Plumbing </t>
  </si>
  <si>
    <t xml:space="preserve">Permitting Fees </t>
  </si>
  <si>
    <t xml:space="preserve">Other </t>
  </si>
  <si>
    <t xml:space="preserve">Fixtures, Furniture &amp; Equipment </t>
  </si>
  <si>
    <t xml:space="preserve">Fixtures </t>
  </si>
  <si>
    <t xml:space="preserve">Furniture </t>
  </si>
  <si>
    <t xml:space="preserve">Artwork </t>
  </si>
  <si>
    <t>Cost of FF&amp;E</t>
  </si>
  <si>
    <t>Total FF&amp;E Costs</t>
  </si>
  <si>
    <t xml:space="preserve">Moves </t>
  </si>
  <si>
    <t>Cost of Moves &amp; Storage</t>
  </si>
  <si>
    <t>Total Moves &amp; Storage Costs</t>
  </si>
  <si>
    <t xml:space="preserve">Information Technology </t>
  </si>
  <si>
    <t xml:space="preserve">Devices (Phones, Computers, Printer, etc) </t>
  </si>
  <si>
    <t>Cost of Information Technology</t>
  </si>
  <si>
    <t>Total IT Costs</t>
  </si>
  <si>
    <t>ADA</t>
  </si>
  <si>
    <t>Cost of Other Items</t>
  </si>
  <si>
    <t>Total Other Costs</t>
  </si>
  <si>
    <t xml:space="preserve">Total Project Estimate </t>
  </si>
  <si>
    <t>Light labs</t>
  </si>
  <si>
    <t>Medium Labs</t>
  </si>
  <si>
    <t>Heavy Labs</t>
  </si>
  <si>
    <t>Residence halls</t>
  </si>
  <si>
    <t>Mechanical Space</t>
  </si>
  <si>
    <t>Parking Lot</t>
  </si>
  <si>
    <t>Square Feet (5,000+ SF)</t>
  </si>
  <si>
    <t>Costs include contractor 
mark-up</t>
  </si>
  <si>
    <t>Cost per</t>
  </si>
  <si>
    <t>Conceptual Project Budget</t>
  </si>
  <si>
    <t>Number of Parking Spaces</t>
  </si>
  <si>
    <t>Definitions &amp; Modifiers</t>
  </si>
  <si>
    <t>Level of Construction Renovations scope is generally defined as follows:</t>
  </si>
  <si>
    <t>Complete demo all walls &amp; ceilings back to structure, all new interior construction, MEP upgrades per space.</t>
  </si>
  <si>
    <t>Modifiers</t>
  </si>
  <si>
    <t>% Add</t>
  </si>
  <si>
    <t>1.</t>
  </si>
  <si>
    <t>Asbestos Abatement /  Hazardous Material Removal</t>
  </si>
  <si>
    <t>5%  - 10%</t>
  </si>
  <si>
    <t>2.</t>
  </si>
  <si>
    <t>Unsuitable Soils Allowance</t>
  </si>
  <si>
    <t>3% - 5%</t>
  </si>
  <si>
    <t>3.</t>
  </si>
  <si>
    <t>Premium Landscape allowance - above industry standard.</t>
  </si>
  <si>
    <t>4.</t>
  </si>
  <si>
    <t>Premium for increased sitework / site utilities above typical industry standard.</t>
  </si>
  <si>
    <t>5.</t>
  </si>
  <si>
    <t>Site / Work hour constraints and/or limitations</t>
  </si>
  <si>
    <t>6.</t>
  </si>
  <si>
    <t>Premium for limited renovation size. (less than 5,000 sf)</t>
  </si>
  <si>
    <t>See Breakdown</t>
  </si>
  <si>
    <t>Definitions for Space Type</t>
  </si>
  <si>
    <t>Student Instruction, inclusive of small seminar rooms, typical classrooms, &amp; lecture halls</t>
  </si>
  <si>
    <t xml:space="preserve"> Space is used for laboratory research with the need of chemicals, fume hoods and may not require special drains, HVAC, air changes, etc</t>
  </si>
  <si>
    <t>Space is used for laboratory research with the need of chemicals, fume hoods and requires special drains, HVAC, air changes, electric etc</t>
  </si>
  <si>
    <t>Majority of space is dedicated to administration and support of.</t>
  </si>
  <si>
    <t>Space is used for care of patients and can include surgical, diagnostic and pharmaceutical functions</t>
  </si>
  <si>
    <t xml:space="preserve"> Spaced used for typical library functions such as stacks (book storage), study space reading rooms, &amp; library support services.</t>
  </si>
  <si>
    <t xml:space="preserve"> Student living areas, as well as spaces that support activities of daily living (dining, laundry, support, etc.).</t>
  </si>
  <si>
    <t>Rooms containing equipment or supplies associated with the maintenance and operation of a building such as chillers, boilers, IT servers, elevator equipment, etc.</t>
  </si>
  <si>
    <t xml:space="preserve"> Area used for growing, potting, &amp; handling plants &amp; plant materials in support of research activities.</t>
  </si>
  <si>
    <t>Animal  Stall Barn Space</t>
  </si>
  <si>
    <t xml:space="preserve">Parking </t>
  </si>
  <si>
    <t>Areas provided to park vehicles</t>
  </si>
  <si>
    <t xml:space="preserve">C/S </t>
  </si>
  <si>
    <t>Core &amp; Shell Costs</t>
  </si>
  <si>
    <t xml:space="preserve">Heavy </t>
  </si>
  <si>
    <t>Painting, Carpet/ Flooring, Base, New Lighting on existing circuiting/ clean and/or diffuser improvement 
NO partition removal/ construction</t>
  </si>
  <si>
    <t xml:space="preserve">Painting, Flooring, Ceilings, Door Refinish, light fixture change, diffuser change.
Minimal partition rework (80-90% Existing), Minimal casework &amp; MEP changes. </t>
  </si>
  <si>
    <t xml:space="preserve">Light Labs </t>
  </si>
  <si>
    <t xml:space="preserve">Heavy Lab </t>
  </si>
  <si>
    <t xml:space="preserve"> Hospital</t>
  </si>
  <si>
    <t>Residence Halls</t>
  </si>
  <si>
    <t>Asbestos/Haz Mat</t>
  </si>
  <si>
    <t>Premium Landscaping</t>
  </si>
  <si>
    <t>Constraints on Time or Site</t>
  </si>
  <si>
    <t>Soft Cost Allocation</t>
  </si>
  <si>
    <t>Below the Line Costs</t>
  </si>
  <si>
    <t>Customer Expense with Inflation</t>
  </si>
  <si>
    <t>Current Year Customer Expense</t>
  </si>
  <si>
    <t>Total FOD Project Cost</t>
  </si>
  <si>
    <t xml:space="preserve"> Total Customer Expense</t>
  </si>
  <si>
    <t>Civic Structure</t>
  </si>
  <si>
    <t>Unsuitable Soils</t>
  </si>
  <si>
    <t>Construction</t>
  </si>
  <si>
    <t>Alternate 1</t>
  </si>
  <si>
    <t>Alternate 2</t>
  </si>
  <si>
    <t>Alternate 3</t>
  </si>
  <si>
    <t>Additional Item</t>
  </si>
  <si>
    <t>Premium Site Work</t>
  </si>
  <si>
    <t>The information directly to the right provide definitions for construction levels and types displayed in the tables below. 
The information to the far right is historical data based on completed OSU projects. 
These numbers are to be used as guides for budget development, the estimator's discretion is required to verify results are suitable for individual projects.</t>
  </si>
  <si>
    <t>Finishes, minor wall changes (50-70% Existing), minor plumbing changes, new diffusers, new light fixture and branch wiring, new low pressure duct from box to diffuser, fire protection branch pipe &amp; heads for areas due to new walls, Fire alarm wire &amp; devices to match existing.</t>
  </si>
  <si>
    <t>Lab space used for instructional or research purposes requiring specialty equipment that limit its use to specific activities/ functions, but no requiring chemical handling/ storage, fume hoods, or like equipment typically associated with the sciences.</t>
  </si>
  <si>
    <t xml:space="preserve">Average Costs for New Ground Up Construction Projects in 2013 Dollars </t>
  </si>
  <si>
    <t xml:space="preserve"> Space used by or in support of specific student athletic activities such as indoor playing fields, courts, stadium, locker rooms, ticket sales, etc.</t>
  </si>
  <si>
    <t>Outpatient Cancer</t>
  </si>
  <si>
    <r>
      <t>Total Modified Cost per ft</t>
    </r>
    <r>
      <rPr>
        <b/>
        <vertAlign val="superscript"/>
        <sz val="16"/>
        <rFont val="Calibri"/>
        <family val="2"/>
        <scheme val="minor"/>
      </rPr>
      <t>2</t>
    </r>
  </si>
  <si>
    <t>Total Cost per Parking Space</t>
  </si>
  <si>
    <t>Cost per Parking Space</t>
  </si>
  <si>
    <t>Tab Definitions</t>
  </si>
  <si>
    <t>Below the Line</t>
  </si>
  <si>
    <t>Fee Look Up  Table</t>
  </si>
  <si>
    <t xml:space="preserve">Benchmark Cost </t>
  </si>
  <si>
    <t>Basic Services Fees</t>
  </si>
  <si>
    <t>Consultants</t>
  </si>
  <si>
    <t>Backup Information on Cost Per Square Feet by Space Type</t>
  </si>
  <si>
    <t>A/E Basic Services Fees Table</t>
  </si>
  <si>
    <t>Backup Information Consultants to Consider for a Project</t>
  </si>
  <si>
    <t>% Sum</t>
  </si>
  <si>
    <t>Animal Clinic</t>
  </si>
  <si>
    <t>Metal Building</t>
  </si>
  <si>
    <t xml:space="preserve">Instructions to complete a Project Budget </t>
  </si>
  <si>
    <t>Orange = Project Budget Development</t>
  </si>
  <si>
    <t>Backup Information on CMR, DB, Cx, etc. Fees</t>
  </si>
  <si>
    <t>General Trades</t>
  </si>
  <si>
    <t>Alternate 4</t>
  </si>
  <si>
    <t>Alternate 5</t>
  </si>
  <si>
    <t>Alternate 6</t>
  </si>
  <si>
    <t>Reimbursables</t>
  </si>
  <si>
    <t>ORIGINAL</t>
  </si>
  <si>
    <t>FINAL</t>
  </si>
  <si>
    <t>Alternates</t>
  </si>
  <si>
    <t>Design</t>
  </si>
  <si>
    <t>Contingency (default 10%)</t>
  </si>
  <si>
    <t>Local Admin Fee</t>
  </si>
  <si>
    <r>
      <t>Parking Garage</t>
    </r>
    <r>
      <rPr>
        <sz val="8"/>
        <color theme="3" tint="-0.499984740745262"/>
        <rFont val="Calibri"/>
        <family val="2"/>
        <scheme val="minor"/>
      </rPr>
      <t xml:space="preserve"> (per space)</t>
    </r>
  </si>
  <si>
    <r>
      <t>Parking Lot</t>
    </r>
    <r>
      <rPr>
        <sz val="8"/>
        <color theme="3" tint="-0.499984740745262"/>
        <rFont val="Calibri"/>
        <family val="2"/>
        <scheme val="minor"/>
      </rPr>
      <t xml:space="preserve"> (per space)</t>
    </r>
  </si>
  <si>
    <t>* Costs were increased from version 9 (2016; based on gilbane analysis) by an agreed {FDC Leadership} inflation factor of 4.5%)</t>
  </si>
  <si>
    <t>01-0110</t>
  </si>
  <si>
    <t>01-0120</t>
  </si>
  <si>
    <t>01-0130</t>
  </si>
  <si>
    <t>01-0140</t>
  </si>
  <si>
    <t>01-0150</t>
  </si>
  <si>
    <t>01-0160</t>
  </si>
  <si>
    <t>01-0170</t>
  </si>
  <si>
    <t>Precon (DB &amp; CMR)</t>
  </si>
  <si>
    <t>Consulting Services</t>
  </si>
  <si>
    <t>In-House Design</t>
  </si>
  <si>
    <t>Planning</t>
  </si>
  <si>
    <t>Study</t>
  </si>
  <si>
    <t>02-0210</t>
  </si>
  <si>
    <t>02-0220</t>
  </si>
  <si>
    <t>02-0230</t>
  </si>
  <si>
    <t>FFE</t>
  </si>
  <si>
    <t>03-0310</t>
  </si>
  <si>
    <t>03-0320</t>
  </si>
  <si>
    <t>03-0330</t>
  </si>
  <si>
    <t>03-0340</t>
  </si>
  <si>
    <t>Furniture</t>
  </si>
  <si>
    <t>Medical Equipment</t>
  </si>
  <si>
    <t>Art</t>
  </si>
  <si>
    <t>06-0640</t>
  </si>
  <si>
    <t>PMO</t>
  </si>
  <si>
    <t>Moves</t>
  </si>
  <si>
    <t>09-0910</t>
  </si>
  <si>
    <t>09-0920</t>
  </si>
  <si>
    <t>09-0930</t>
  </si>
  <si>
    <t>Project Contingency</t>
  </si>
  <si>
    <t>Construction Contingency</t>
  </si>
  <si>
    <t>Risk Contingency</t>
  </si>
  <si>
    <t>LEED Certification</t>
  </si>
  <si>
    <t>Preconstuction Compensation</t>
  </si>
  <si>
    <t>AoR Reimbursables</t>
  </si>
  <si>
    <t>AoR Additional Services</t>
  </si>
  <si>
    <t>AoR LEED</t>
  </si>
  <si>
    <t>Professional Sevices</t>
  </si>
  <si>
    <t>01</t>
  </si>
  <si>
    <t>AoR Design Services Compensation</t>
  </si>
  <si>
    <t>02</t>
  </si>
  <si>
    <t>Capital Planning Savings</t>
  </si>
  <si>
    <t>03</t>
  </si>
  <si>
    <t>04</t>
  </si>
  <si>
    <t>05</t>
  </si>
  <si>
    <t>06</t>
  </si>
  <si>
    <t>Project Administration</t>
  </si>
  <si>
    <t>09</t>
  </si>
  <si>
    <t>Contractor's Contingency (CMR or DB)</t>
  </si>
  <si>
    <t>CMA Fee</t>
  </si>
  <si>
    <t>CM at Risk Fee</t>
  </si>
  <si>
    <t>Total Customer Expense</t>
  </si>
  <si>
    <r>
      <t>Art</t>
    </r>
    <r>
      <rPr>
        <vertAlign val="superscript"/>
        <sz val="12"/>
        <rFont val="Arial"/>
        <family val="2"/>
      </rPr>
      <t>2.</t>
    </r>
  </si>
  <si>
    <r>
      <t>Civic Structure</t>
    </r>
    <r>
      <rPr>
        <vertAlign val="superscript"/>
        <sz val="12"/>
        <rFont val="Arial"/>
        <family val="2"/>
      </rPr>
      <t>1.</t>
    </r>
  </si>
  <si>
    <r>
      <t>Below The Line Costs</t>
    </r>
    <r>
      <rPr>
        <vertAlign val="superscript"/>
        <sz val="12"/>
        <rFont val="Arial"/>
        <family val="2"/>
      </rPr>
      <t>3.</t>
    </r>
  </si>
  <si>
    <t xml:space="preserve">*    Budget estimate is non-binding and may be updated as project progresses
1.   If total cost is $4M+, Civic Structure is included at 2% of construction budget
2.   If State Capital Funds equal $4M+, Art funding is included at 1% of the 
      State Capital Funding amount
3.   Below the Line Costs are customer expenses outside of the scope of work
      managed by FOD and the FOD Project Cost
</t>
  </si>
  <si>
    <t>Labor and Material</t>
  </si>
  <si>
    <t>IDIQ Look Up Table</t>
  </si>
  <si>
    <t>Barton Malow</t>
  </si>
  <si>
    <t>Eagle Electrical Services</t>
  </si>
  <si>
    <t>Elford</t>
  </si>
  <si>
    <t>Elite Construction Design Management</t>
  </si>
  <si>
    <t>Premier General Construction</t>
  </si>
  <si>
    <t>Rhoads Construction</t>
  </si>
  <si>
    <t>Roberts Service Group</t>
  </si>
  <si>
    <t>Rockwood Builders</t>
  </si>
  <si>
    <t>Teemok Construction</t>
  </si>
  <si>
    <t>Advanced Engineering Consultants</t>
  </si>
  <si>
    <t>Karpinski Engineering</t>
  </si>
  <si>
    <t>Design-Build</t>
  </si>
  <si>
    <t>General Contracting</t>
  </si>
  <si>
    <t>TBD A/E</t>
  </si>
  <si>
    <t>N/A</t>
  </si>
  <si>
    <t>Basic A/E Services</t>
  </si>
  <si>
    <t>Civic Structure1.</t>
  </si>
  <si>
    <t>06-0610</t>
  </si>
  <si>
    <t>06-0620</t>
  </si>
  <si>
    <t>06-0630</t>
  </si>
  <si>
    <t>Construction Activities</t>
  </si>
  <si>
    <t>Green = Review and/or Modify</t>
  </si>
  <si>
    <t>Begin on the Estimate Template tab</t>
  </si>
  <si>
    <t>Estimate Template</t>
  </si>
  <si>
    <t>Printout For Customer</t>
  </si>
  <si>
    <t>Estimate Template for All Projects</t>
  </si>
  <si>
    <t>Scope</t>
  </si>
  <si>
    <t>Gross Square Feet</t>
  </si>
  <si>
    <t>Expand / Collapse</t>
  </si>
  <si>
    <t>Small Project Estimate</t>
  </si>
  <si>
    <t>Type of PO</t>
  </si>
  <si>
    <t>Contractor</t>
  </si>
  <si>
    <t>A/E</t>
  </si>
  <si>
    <t>Move</t>
  </si>
  <si>
    <t>Moving</t>
  </si>
  <si>
    <t>None</t>
  </si>
  <si>
    <t>Design Fee</t>
  </si>
  <si>
    <t>Criteria A/E</t>
  </si>
  <si>
    <t>Contracted</t>
  </si>
  <si>
    <t>Description</t>
  </si>
  <si>
    <t>Total</t>
  </si>
  <si>
    <t>Detailed Estimate Module</t>
  </si>
  <si>
    <t>Project Budget</t>
  </si>
  <si>
    <t>Detailed Estimate</t>
  </si>
  <si>
    <t>Base Bid</t>
  </si>
  <si>
    <t>Drywall Partition</t>
  </si>
  <si>
    <t>Painting</t>
  </si>
  <si>
    <t>Door</t>
  </si>
  <si>
    <t>EA</t>
  </si>
  <si>
    <t>Hardware</t>
  </si>
  <si>
    <t>Ceramic Wall Tile</t>
  </si>
  <si>
    <t>Carpet Tile</t>
  </si>
  <si>
    <t>VCT</t>
  </si>
  <si>
    <t>LVT</t>
  </si>
  <si>
    <t>Toilet Install</t>
  </si>
  <si>
    <t>Restroom Sink Install</t>
  </si>
  <si>
    <t>Outlets</t>
  </si>
  <si>
    <t>Replace Lights</t>
  </si>
  <si>
    <t>Fire Alarm Install</t>
  </si>
  <si>
    <t>VAV</t>
  </si>
  <si>
    <t>Package Unit 10 ton</t>
  </si>
  <si>
    <t>General Requirements</t>
  </si>
  <si>
    <t>%</t>
  </si>
  <si>
    <t>No Alternates</t>
  </si>
  <si>
    <t>No Additional Alternates</t>
  </si>
  <si>
    <t>Done</t>
  </si>
  <si>
    <t>Capital Project</t>
  </si>
  <si>
    <t>Project Type</t>
  </si>
  <si>
    <t>Complexity Type</t>
  </si>
  <si>
    <t>Delivery Type</t>
  </si>
  <si>
    <t>State Funding Amount</t>
  </si>
  <si>
    <t>Difficulty</t>
  </si>
  <si>
    <t>Premium</t>
  </si>
  <si>
    <r>
      <t>Cost / ft</t>
    </r>
    <r>
      <rPr>
        <b/>
        <vertAlign val="superscript"/>
        <sz val="12"/>
        <rFont val="Arial"/>
        <family val="2"/>
      </rPr>
      <t>2</t>
    </r>
  </si>
  <si>
    <t>Limit Time / Site</t>
  </si>
  <si>
    <t>Years Applied</t>
  </si>
  <si>
    <t>Rate</t>
  </si>
  <si>
    <t>Factor</t>
  </si>
  <si>
    <t>Labor and Materials</t>
  </si>
  <si>
    <t>General Conditions</t>
  </si>
  <si>
    <t>Professional Services</t>
  </si>
  <si>
    <t>No</t>
  </si>
  <si>
    <t xml:space="preserve"> - -</t>
  </si>
  <si>
    <t>04-0410</t>
  </si>
  <si>
    <t>Percent for Art</t>
  </si>
  <si>
    <t>05-0510</t>
  </si>
  <si>
    <t>a. Enter project information</t>
  </si>
  <si>
    <t>c. Adjust green boxes as appropriate</t>
  </si>
  <si>
    <t xml:space="preserve">Captures and Calculates Projects Costs </t>
  </si>
  <si>
    <t>Non-project Budget Costs Customers May Also Be Budgeting</t>
  </si>
  <si>
    <t>Total Project Cost with Alternates (FOD)</t>
  </si>
  <si>
    <t>Total Project Cost (FOD)</t>
  </si>
  <si>
    <t>Premium Landscape</t>
  </si>
  <si>
    <t>&lt;- This Cell can be overwritten</t>
  </si>
  <si>
    <t>INCREASE</t>
  </si>
  <si>
    <t>Sprinkler Addition (Heads and Branches)</t>
  </si>
  <si>
    <t>Conceptual Estimate*</t>
  </si>
  <si>
    <t>Scoping*</t>
  </si>
  <si>
    <t>Core and Shell Costs*</t>
  </si>
  <si>
    <t>Asset Tagging</t>
  </si>
  <si>
    <t>General Adminstrative| Primarily offices, Typical HVAC Design, Typical office support services</t>
  </si>
  <si>
    <t>General Academic | Primarly Classroom/Offices, Typical
HVAC design, typical student support amenities</t>
  </si>
  <si>
    <t>Science/Lab Academic | Primarily lab areas, specialty services, specialty equipment, precision HVAC control, specialty gases/services, typical student support services</t>
  </si>
  <si>
    <t>Faciities/Infrastructure | Facilities infrastructure buildings (Chilled Water Plant, Powerhouse/CUP, Electrical/Generator, etc)</t>
  </si>
  <si>
    <t>Medical Facilities | Hospitals, Medical Services/Procedures, special HVAC controls/systems, specialty gases/service, patient support services, etc.</t>
  </si>
  <si>
    <t>Athletic Faciities | Sports Venues and training facilities
(locker rooms, fitness/strength equipment, therapy equipment, athletic equipment)</t>
  </si>
  <si>
    <t>Student Housing | Dorms, Apartments, Living spaces, etc.
These can be very different in design and functionality.  The cost represents an average of historical and modern designs.</t>
  </si>
  <si>
    <r>
      <t>Tag</t>
    </r>
    <r>
      <rPr>
        <b/>
        <vertAlign val="superscript"/>
        <sz val="11"/>
        <rFont val="Calibri"/>
        <family val="2"/>
      </rPr>
      <t>+</t>
    </r>
  </si>
  <si>
    <r>
      <rPr>
        <b/>
        <sz val="11"/>
        <rFont val="Calibri"/>
        <family val="2"/>
      </rPr>
      <t>PM</t>
    </r>
    <r>
      <rPr>
        <b/>
        <vertAlign val="superscript"/>
        <sz val="11"/>
        <rFont val="Calibri"/>
        <family val="2"/>
      </rPr>
      <t>++</t>
    </r>
  </si>
  <si>
    <t>+</t>
  </si>
  <si>
    <t>++</t>
  </si>
  <si>
    <t>Tagging Average Cost per Square Foot based on entire/new building projects. Small projects and renovations require 10% increase.</t>
  </si>
  <si>
    <t>Preventive Maintenance Average Cost per Square Foot to develop/format PM Procedures (wrench turning maintenance steps) and PM Schedules (frequency and timing for auto‐generation of PM Work Orders)</t>
  </si>
  <si>
    <t>Both</t>
  </si>
  <si>
    <t>Renovation/Small Project</t>
  </si>
  <si>
    <r>
      <t>Tag</t>
    </r>
    <r>
      <rPr>
        <b/>
        <vertAlign val="superscript"/>
        <sz val="11"/>
        <rFont val="Calibri"/>
        <family val="2"/>
        <scheme val="minor"/>
      </rPr>
      <t>+</t>
    </r>
  </si>
  <si>
    <r>
      <t>PM</t>
    </r>
    <r>
      <rPr>
        <b/>
        <vertAlign val="superscript"/>
        <sz val="11"/>
        <rFont val="Calibri"/>
        <family val="2"/>
        <scheme val="minor"/>
      </rPr>
      <t>++</t>
    </r>
  </si>
  <si>
    <t>Asset Tag</t>
  </si>
  <si>
    <t>Total Project Cost</t>
  </si>
  <si>
    <t>Enter My Own Construction Cost</t>
  </si>
  <si>
    <t>Escalation</t>
  </si>
  <si>
    <t>Construction Stage Design Services</t>
  </si>
  <si>
    <t>DB Contingency</t>
  </si>
  <si>
    <t>Yes / No</t>
  </si>
  <si>
    <t>CM Contingency</t>
  </si>
  <si>
    <t>This template is a tool to help develop a Total Project Cost. Each project will have unique circumstances and the default settings should be adjusted accordingly.
To improve functionality macros have been included. 
Cells highlighted in green require review and/or modification. 
All other cells should remain unchanged to ensure the Total Customer Expense is valid, as they are generated through a series of formulas and look-up tables.</t>
  </si>
  <si>
    <t>Alternate 7</t>
  </si>
  <si>
    <t>Alternate 8</t>
  </si>
  <si>
    <t>Alternate 9</t>
  </si>
  <si>
    <t>Alternate 10</t>
  </si>
  <si>
    <t>Alternate 11</t>
  </si>
  <si>
    <t>Alternate 12</t>
  </si>
  <si>
    <t>03-0350</t>
  </si>
  <si>
    <t>Design Budget</t>
  </si>
  <si>
    <t xml:space="preserve">Total Project Estimate (PDF ME). </t>
  </si>
  <si>
    <t>a. (1) Click Sort &amp; Filter"</t>
  </si>
  <si>
    <t>b. (2) Click "Reapply"</t>
  </si>
  <si>
    <t>c. Print page as PDF</t>
  </si>
  <si>
    <t>Funding Increase Worksheet</t>
  </si>
  <si>
    <t>Aid to determine cost impact to project when additional funds may be required</t>
  </si>
  <si>
    <t>06-0690</t>
  </si>
  <si>
    <t>Misc (General Expenditures)</t>
  </si>
  <si>
    <t>Previously part of Contingency (Project/Construction)</t>
  </si>
  <si>
    <t>Typically 4% - 7%</t>
  </si>
  <si>
    <t>General Expenditures</t>
  </si>
  <si>
    <t>06-0650</t>
  </si>
  <si>
    <t>Advertising</t>
  </si>
  <si>
    <t>Total Project Estimate (PDF ME)</t>
  </si>
  <si>
    <t>Green = PDF Print Out for Customer and e-Builder Budget Match</t>
  </si>
  <si>
    <t xml:space="preserve">Below the Line for OSU Wexner Medical Center projects; these budget lines will be the Plan Phase used in Workday to issue POs against the project </t>
  </si>
  <si>
    <t>a. Use this sheet if a funding increase is required/requested. This will help recalcualte fee, contingency, and total cost.</t>
  </si>
  <si>
    <t>Ruscilli Construction Co</t>
  </si>
  <si>
    <t>Trimble</t>
  </si>
  <si>
    <t>Barber &amp; Hoffman, Inc.</t>
  </si>
  <si>
    <t>Davis Wince, Ltd.</t>
  </si>
  <si>
    <t>DLZ Architecture, Inc.</t>
  </si>
  <si>
    <t>Dynamix Engineering</t>
  </si>
  <si>
    <t>Ford &amp; Associates Architects, Inc.</t>
  </si>
  <si>
    <t xml:space="preserve">  Garmann/Miller &amp; Associates, Inc.</t>
  </si>
  <si>
    <t>Gunzelman Architecture &amp; Interiors LLC</t>
  </si>
  <si>
    <t>Hasenstab Architects, Inc.</t>
  </si>
  <si>
    <t>LaFontaine Architecture &amp; Design, Inc.</t>
  </si>
  <si>
    <t>Miller/Watson Architects, Ltd.</t>
  </si>
  <si>
    <t>Monks Engineers LLC</t>
  </si>
  <si>
    <t>The Osborn Engineering Company</t>
  </si>
  <si>
    <t>SHYFT Collective, LLC</t>
  </si>
  <si>
    <t>Star Consultants Inc.</t>
  </si>
  <si>
    <t>The Kleingers Group, Inc.</t>
  </si>
  <si>
    <t>Tri-Tech Engineering</t>
  </si>
  <si>
    <t>Van Auken Akins Architects, LLC</t>
  </si>
  <si>
    <t>Purchase Order</t>
  </si>
  <si>
    <r>
      <t>AoR Construction Stage Design Fee</t>
    </r>
    <r>
      <rPr>
        <i/>
        <sz val="12"/>
        <rFont val="Arial"/>
        <family val="2"/>
      </rPr>
      <t xml:space="preserve"> (DB Only)</t>
    </r>
  </si>
  <si>
    <r>
      <t xml:space="preserve">Fee </t>
    </r>
    <r>
      <rPr>
        <i/>
        <sz val="12"/>
        <rFont val="Arial"/>
        <family val="2"/>
      </rPr>
      <t>(CMR or DB Only)</t>
    </r>
  </si>
  <si>
    <r>
      <t>Construction Stage Personnel Cost</t>
    </r>
    <r>
      <rPr>
        <i/>
        <sz val="12"/>
        <rFont val="Arial"/>
        <family val="2"/>
      </rPr>
      <t xml:space="preserve"> (CMR or DB Only)</t>
    </r>
  </si>
  <si>
    <t xml:space="preserve"> 02-0230</t>
  </si>
  <si>
    <t xml:space="preserve"> *Civic Structure cost is not included in ConstructionTotal, but added into Total Project Cost.</t>
  </si>
  <si>
    <r>
      <t>Civic Structure*</t>
    </r>
    <r>
      <rPr>
        <i/>
        <sz val="9"/>
        <rFont val="Arial"/>
        <family val="2"/>
      </rPr>
      <t xml:space="preserve"> ( not included in ConstructionTotal, but included in Total Project Cost)</t>
    </r>
  </si>
  <si>
    <t>Contractor's Contingency</t>
  </si>
  <si>
    <t>b. Complete the applicable section depending on project size and available detail</t>
  </si>
  <si>
    <t>BLUE TEXT INDICATES ESTIMATE IS OVER $200K CAPITAL PLAN THRESHOLD</t>
  </si>
  <si>
    <t>2.  For projects with State funds, FOD admin fee is 1.5%.</t>
  </si>
  <si>
    <t>General Contractor</t>
  </si>
  <si>
    <t>1. Small Project - Under $250k (see note below for projects over $200k)</t>
  </si>
  <si>
    <r>
      <t xml:space="preserve">2. Capital Project - Over $200k </t>
    </r>
    <r>
      <rPr>
        <i/>
        <sz val="10"/>
        <rFont val="Arial"/>
        <family val="2"/>
      </rPr>
      <t>(Note: Capital plan threshold is not the same as the $250k state threshold - for now, if over $200K has to go on capital plan, but you can fill out the Small Project estimate for budgeting)</t>
    </r>
  </si>
  <si>
    <t>RED TEXT INDICATES ESTIMATE IS OVER $250K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</si>
</sst>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quot;$&quot;* #,##0_);_(&quot;$&quot;* \(#,##0\);_(&quot;$&quot;* &quot;-&quot;??_);_(@_)"/>
    <numFmt numFmtId="166" formatCode="&quot;$&quot;#,##0.00"/>
    <numFmt numFmtId="167" formatCode="&quot;$&quot;#,##0"/>
    <numFmt numFmtId="168" formatCode="&quot;$&quot;#,##0.0"/>
    <numFmt numFmtId="169" formatCode="\$0.00"/>
    <numFmt numFmtId="170" formatCode="0.00000000"/>
    <numFmt numFmtId="171" formatCode="_(&quot;$&quot;* #,##0.0000_);_(&quot;$&quot;* \(#,##0.0000\);_(&quot;$&quot;* &quot;-&quot;??_);_(@_)"/>
    <numFmt numFmtId="172" formatCode="_(&quot;$&quot;* #,##0.000_);_(&quot;$&quot;* \(#,##0.000\);_(&quot;$&quot;* &quot;-&quot;???_);_(@_)"/>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name val="Arial"/>
      <family val="2"/>
    </font>
    <font>
      <b/>
      <u/>
      <sz val="10"/>
      <name val="Arial"/>
      <family val="2"/>
    </font>
    <font>
      <sz val="10"/>
      <name val="Arial"/>
      <family val="2"/>
    </font>
    <font>
      <i/>
      <sz val="10"/>
      <color indexed="30"/>
      <name val="Arial"/>
      <family val="2"/>
    </font>
    <font>
      <b/>
      <sz val="10"/>
      <color indexed="8"/>
      <name val="Arial Narrow"/>
      <family val="2"/>
    </font>
    <font>
      <sz val="10"/>
      <color indexed="8"/>
      <name val="Arial Narrow"/>
      <family val="2"/>
    </font>
    <font>
      <i/>
      <sz val="10"/>
      <color indexed="30"/>
      <name val="Arial Narrow"/>
      <family val="2"/>
    </font>
    <font>
      <sz val="10"/>
      <name val="Calibri"/>
      <family val="2"/>
      <scheme val="minor"/>
    </font>
    <font>
      <sz val="12"/>
      <name val="Calibri"/>
      <family val="2"/>
      <scheme val="minor"/>
    </font>
    <font>
      <sz val="11"/>
      <name val="Calibri"/>
      <family val="2"/>
      <scheme val="minor"/>
    </font>
    <font>
      <b/>
      <sz val="12"/>
      <name val="Calibri"/>
      <family val="2"/>
      <scheme val="minor"/>
    </font>
    <font>
      <sz val="9"/>
      <name val="Calibri"/>
      <family val="2"/>
      <scheme val="minor"/>
    </font>
    <font>
      <b/>
      <sz val="10"/>
      <name val="Calibri"/>
      <family val="2"/>
      <scheme val="minor"/>
    </font>
    <font>
      <sz val="12"/>
      <color theme="0"/>
      <name val="Calibri"/>
      <family val="2"/>
      <scheme val="minor"/>
    </font>
    <font>
      <b/>
      <sz val="11"/>
      <name val="Calibri"/>
      <family val="2"/>
      <scheme val="minor"/>
    </font>
    <font>
      <b/>
      <sz val="14"/>
      <name val="Calibri"/>
      <family val="2"/>
      <scheme val="minor"/>
    </font>
    <font>
      <sz val="8"/>
      <name val="Calibri"/>
      <family val="2"/>
      <scheme val="minor"/>
    </font>
    <font>
      <b/>
      <sz val="16"/>
      <name val="Calibri"/>
      <family val="2"/>
      <scheme val="minor"/>
    </font>
    <font>
      <sz val="16"/>
      <name val="Calibri"/>
      <family val="2"/>
      <scheme val="minor"/>
    </font>
    <font>
      <sz val="12"/>
      <color theme="1"/>
      <name val="Calibri"/>
      <family val="2"/>
      <scheme val="minor"/>
    </font>
    <font>
      <b/>
      <vertAlign val="superscript"/>
      <sz val="16"/>
      <name val="Calibri"/>
      <family val="2"/>
      <scheme val="minor"/>
    </font>
    <font>
      <sz val="12"/>
      <name val="Arial"/>
      <family val="2"/>
    </font>
    <font>
      <u/>
      <sz val="10"/>
      <color theme="10"/>
      <name val="Arial"/>
      <family val="2"/>
    </font>
    <font>
      <b/>
      <i/>
      <u/>
      <sz val="12"/>
      <name val="Calibri"/>
      <family val="2"/>
      <scheme val="minor"/>
    </font>
    <font>
      <b/>
      <i/>
      <u/>
      <sz val="16"/>
      <name val="Calibri"/>
      <family val="2"/>
      <scheme val="minor"/>
    </font>
    <font>
      <b/>
      <sz val="11"/>
      <color theme="1"/>
      <name val="Calibri"/>
      <family val="2"/>
      <scheme val="minor"/>
    </font>
    <font>
      <b/>
      <sz val="12"/>
      <color theme="1"/>
      <name val="Calibri"/>
      <family val="2"/>
      <scheme val="minor"/>
    </font>
    <font>
      <b/>
      <u/>
      <sz val="12"/>
      <color theme="3" tint="-0.499984740745262"/>
      <name val="Calibri"/>
      <family val="2"/>
      <scheme val="minor"/>
    </font>
    <font>
      <b/>
      <sz val="12"/>
      <color theme="3" tint="-0.499984740745262"/>
      <name val="Calibri"/>
      <family val="2"/>
      <scheme val="minor"/>
    </font>
    <font>
      <sz val="16"/>
      <color rgb="FFF3F3F3"/>
      <name val="Calibri"/>
      <family val="2"/>
      <scheme val="minor"/>
    </font>
    <font>
      <b/>
      <sz val="12"/>
      <name val="Arial"/>
      <family val="2"/>
    </font>
    <font>
      <b/>
      <sz val="16"/>
      <color theme="1"/>
      <name val="Calibri"/>
      <family val="2"/>
      <scheme val="minor"/>
    </font>
    <font>
      <sz val="8"/>
      <color rgb="FF000000"/>
      <name val="Tahoma"/>
      <family val="2"/>
    </font>
    <font>
      <b/>
      <sz val="10"/>
      <color indexed="8"/>
      <name val="Calibri"/>
      <family val="2"/>
      <scheme val="minor"/>
    </font>
    <font>
      <b/>
      <sz val="10"/>
      <color theme="1"/>
      <name val="Calibri"/>
      <family val="2"/>
      <scheme val="minor"/>
    </font>
    <font>
      <b/>
      <u/>
      <sz val="14"/>
      <color theme="1"/>
      <name val="Calibri"/>
      <family val="2"/>
      <scheme val="minor"/>
    </font>
    <font>
      <b/>
      <u/>
      <sz val="11"/>
      <color theme="1"/>
      <name val="Calibri"/>
      <family val="2"/>
      <scheme val="minor"/>
    </font>
    <font>
      <i/>
      <u/>
      <sz val="12"/>
      <color theme="1"/>
      <name val="Calibri"/>
      <family val="2"/>
      <scheme val="minor"/>
    </font>
    <font>
      <sz val="16"/>
      <color theme="0"/>
      <name val="Calibri"/>
      <family val="2"/>
      <scheme val="minor"/>
    </font>
    <font>
      <sz val="16"/>
      <color rgb="FFC00000"/>
      <name val="Calibri"/>
      <family val="2"/>
      <scheme val="minor"/>
    </font>
    <font>
      <b/>
      <i/>
      <sz val="12"/>
      <name val="Calibri"/>
      <family val="2"/>
      <scheme val="minor"/>
    </font>
    <font>
      <sz val="8"/>
      <color theme="3" tint="-0.499984740745262"/>
      <name val="Calibri"/>
      <family val="2"/>
      <scheme val="minor"/>
    </font>
    <font>
      <sz val="12"/>
      <color theme="0"/>
      <name val="Arial"/>
      <family val="2"/>
    </font>
    <font>
      <vertAlign val="superscript"/>
      <sz val="12"/>
      <name val="Arial"/>
      <family val="2"/>
    </font>
    <font>
      <b/>
      <sz val="16"/>
      <name val="Arial"/>
      <family val="2"/>
    </font>
    <font>
      <b/>
      <sz val="18"/>
      <name val="Arial"/>
      <family val="2"/>
    </font>
    <font>
      <b/>
      <sz val="18"/>
      <color indexed="8"/>
      <name val="Arial"/>
      <family val="2"/>
    </font>
    <font>
      <b/>
      <u/>
      <sz val="11"/>
      <name val="Arial"/>
      <family val="2"/>
    </font>
    <font>
      <b/>
      <sz val="14"/>
      <name val="Arial"/>
      <family val="2"/>
    </font>
    <font>
      <sz val="10"/>
      <color theme="0"/>
      <name val="Arial"/>
      <family val="2"/>
    </font>
    <font>
      <b/>
      <sz val="12"/>
      <color theme="0"/>
      <name val="Arial"/>
      <family val="2"/>
    </font>
    <font>
      <sz val="12"/>
      <color indexed="10"/>
      <name val="Arial"/>
      <family val="2"/>
    </font>
    <font>
      <sz val="12"/>
      <color theme="0" tint="-4.9989318521683403E-2"/>
      <name val="Arial"/>
      <family val="2"/>
    </font>
    <font>
      <b/>
      <vertAlign val="superscript"/>
      <sz val="12"/>
      <name val="Arial"/>
      <family val="2"/>
    </font>
    <font>
      <sz val="11"/>
      <name val="Calibri"/>
      <family val="2"/>
    </font>
    <font>
      <sz val="11"/>
      <color rgb="FF000000"/>
      <name val="Calibri"/>
      <family val="2"/>
    </font>
    <font>
      <b/>
      <sz val="11"/>
      <name val="Calibri"/>
      <family val="2"/>
    </font>
    <font>
      <b/>
      <vertAlign val="superscript"/>
      <sz val="11"/>
      <name val="Calibri"/>
      <family val="2"/>
    </font>
    <font>
      <b/>
      <vertAlign val="superscript"/>
      <sz val="11"/>
      <name val="Calibri"/>
      <family val="2"/>
      <scheme val="minor"/>
    </font>
    <font>
      <b/>
      <sz val="12"/>
      <color theme="1"/>
      <name val="Arial"/>
      <family val="2"/>
    </font>
    <font>
      <sz val="8"/>
      <name val="Arial"/>
      <family val="2"/>
    </font>
    <font>
      <sz val="10"/>
      <color theme="10"/>
      <name val="Arial"/>
      <family val="2"/>
    </font>
    <font>
      <b/>
      <sz val="8"/>
      <name val="Arial"/>
      <family val="2"/>
    </font>
    <font>
      <sz val="11"/>
      <name val="Arial"/>
      <family val="2"/>
    </font>
    <font>
      <sz val="10"/>
      <color theme="1"/>
      <name val="Arial"/>
      <family val="2"/>
    </font>
    <font>
      <sz val="9"/>
      <name val="Arial"/>
      <family val="2"/>
    </font>
    <font>
      <i/>
      <sz val="9"/>
      <name val="Arial"/>
      <family val="2"/>
    </font>
    <font>
      <i/>
      <sz val="12"/>
      <name val="Arial"/>
      <family val="2"/>
    </font>
    <font>
      <i/>
      <sz val="10"/>
      <name val="Arial"/>
      <family val="2"/>
    </font>
    <font>
      <i/>
      <sz val="9"/>
      <color rgb="FFFF0000"/>
      <name val="Arial"/>
      <family val="2"/>
    </font>
    <font>
      <b/>
      <i/>
      <sz val="9"/>
      <name val="Arial"/>
      <family val="2"/>
    </font>
    <font>
      <i/>
      <sz val="9"/>
      <color rgb="FF0070C0"/>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B7"/>
        <bgColor indexed="64"/>
      </patternFill>
    </fill>
    <fill>
      <patternFill patternType="solid">
        <fgColor theme="7" tint="-0.499984740745262"/>
        <bgColor indexed="64"/>
      </patternFill>
    </fill>
    <fill>
      <patternFill patternType="solid">
        <fgColor rgb="FFC000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rgb="FFF3F3F3"/>
        <bgColor indexed="64"/>
      </patternFill>
    </fill>
    <fill>
      <patternFill patternType="solid">
        <fgColor theme="0"/>
        <bgColor indexed="64"/>
      </patternFill>
    </fill>
    <fill>
      <patternFill patternType="solid">
        <fgColor theme="2"/>
        <bgColor indexed="64"/>
      </patternFill>
    </fill>
    <fill>
      <patternFill patternType="solid">
        <fgColor rgb="FFF9F9F9"/>
        <bgColor indexed="64"/>
      </patternFill>
    </fill>
    <fill>
      <patternFill patternType="solid">
        <fgColor rgb="FF92D050"/>
        <bgColor indexed="64"/>
      </patternFill>
    </fill>
  </fills>
  <borders count="13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theme="4" tint="0.59999389629810485"/>
      </left>
      <right/>
      <top style="thin">
        <color theme="4" tint="0.59999389629810485"/>
      </top>
      <bottom style="medium">
        <color indexed="64"/>
      </bottom>
      <diagonal/>
    </border>
    <border>
      <left style="thin">
        <color indexed="64"/>
      </left>
      <right/>
      <top style="thin">
        <color indexed="64"/>
      </top>
      <bottom style="medium">
        <color indexed="64"/>
      </bottom>
      <diagonal/>
    </border>
    <border>
      <left style="thin">
        <color theme="4" tint="0.59999389629810485"/>
      </left>
      <right style="medium">
        <color indexed="64"/>
      </right>
      <top/>
      <bottom style="thin">
        <color theme="4" tint="0.59999389629810485"/>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bottom style="dotted">
        <color indexed="64"/>
      </bottom>
      <diagonal/>
    </border>
    <border>
      <left/>
      <right style="medium">
        <color indexed="64"/>
      </right>
      <top style="medium">
        <color indexed="64"/>
      </top>
      <bottom style="dotted">
        <color indexed="64"/>
      </bottom>
      <diagonal/>
    </border>
    <border>
      <left style="medium">
        <color indexed="64"/>
      </left>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dotted">
        <color indexed="64"/>
      </left>
      <right style="dotted">
        <color indexed="64"/>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bottom style="medium">
        <color indexed="64"/>
      </bottom>
      <diagonal/>
    </border>
    <border>
      <left/>
      <right/>
      <top style="dash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style="dashed">
        <color indexed="64"/>
      </right>
      <top style="dotted">
        <color indexed="64"/>
      </top>
      <bottom style="dotted">
        <color indexed="64"/>
      </bottom>
      <diagonal/>
    </border>
    <border>
      <left style="dashed">
        <color indexed="64"/>
      </left>
      <right style="dotted">
        <color indexed="64"/>
      </right>
      <top style="medium">
        <color indexed="64"/>
      </top>
      <bottom/>
      <diagonal/>
    </border>
    <border>
      <left style="dashed">
        <color indexed="64"/>
      </left>
      <right style="dotted">
        <color indexed="64"/>
      </right>
      <top style="dotted">
        <color indexed="64"/>
      </top>
      <bottom style="dotted">
        <color indexed="64"/>
      </bottom>
      <diagonal/>
    </border>
    <border>
      <left style="dashed">
        <color indexed="64"/>
      </left>
      <right style="dotted">
        <color indexed="64"/>
      </right>
      <top/>
      <bottom style="medium">
        <color indexed="64"/>
      </bottom>
      <diagonal/>
    </border>
  </borders>
  <cellStyleXfs count="21">
    <xf numFmtId="0" fontId="0" fillId="0" borderId="0"/>
    <xf numFmtId="44" fontId="7" fillId="0" borderId="0" applyFont="0" applyFill="0" applyBorder="0" applyAlignment="0" applyProtection="0"/>
    <xf numFmtId="0" fontId="11" fillId="0" borderId="0"/>
    <xf numFmtId="9" fontId="7" fillId="0" borderId="0" applyFont="0" applyFill="0" applyBorder="0" applyAlignment="0" applyProtection="0"/>
    <xf numFmtId="0" fontId="7" fillId="0" borderId="0"/>
    <xf numFmtId="0" fontId="7" fillId="0" borderId="0"/>
    <xf numFmtId="0" fontId="31" fillId="0" borderId="0" applyNumberForma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032">
    <xf numFmtId="0" fontId="0" fillId="0" borderId="0" xfId="0"/>
    <xf numFmtId="0" fontId="9" fillId="0" borderId="0" xfId="0" applyFont="1"/>
    <xf numFmtId="0" fontId="9" fillId="0" borderId="0" xfId="0" applyFont="1" applyAlignment="1">
      <alignment horizontal="center"/>
    </xf>
    <xf numFmtId="0" fontId="0" fillId="0" borderId="4" xfId="0" applyBorder="1" applyAlignment="1">
      <alignment horizontal="left" indent="1"/>
    </xf>
    <xf numFmtId="0" fontId="0" fillId="0" borderId="5" xfId="0" applyBorder="1" applyAlignment="1">
      <alignment horizontal="left" indent="1"/>
    </xf>
    <xf numFmtId="0" fontId="0" fillId="0" borderId="6" xfId="0" applyBorder="1"/>
    <xf numFmtId="0" fontId="0" fillId="0" borderId="7" xfId="0" applyBorder="1"/>
    <xf numFmtId="0" fontId="0" fillId="0" borderId="8" xfId="0" applyBorder="1"/>
    <xf numFmtId="10" fontId="0" fillId="0" borderId="9" xfId="0" applyNumberFormat="1" applyBorder="1"/>
    <xf numFmtId="0" fontId="0" fillId="0" borderId="2" xfId="0" applyBorder="1"/>
    <xf numFmtId="0" fontId="0" fillId="0" borderId="10" xfId="0" applyBorder="1"/>
    <xf numFmtId="0" fontId="0" fillId="0" borderId="3" xfId="0" applyBorder="1" applyAlignment="1">
      <alignment horizontal="left" indent="1"/>
    </xf>
    <xf numFmtId="0" fontId="10" fillId="0" borderId="0" xfId="0" applyFont="1"/>
    <xf numFmtId="0" fontId="0" fillId="0" borderId="0" xfId="0" applyAlignment="1">
      <alignment horizontal="left" indent="1"/>
    </xf>
    <xf numFmtId="0" fontId="0" fillId="0" borderId="11" xfId="0" applyBorder="1"/>
    <xf numFmtId="0" fontId="0" fillId="0" borderId="12" xfId="0" applyBorder="1"/>
    <xf numFmtId="10" fontId="0" fillId="0" borderId="13" xfId="0" applyNumberFormat="1" applyBorder="1"/>
    <xf numFmtId="0" fontId="9" fillId="0" borderId="0" xfId="0" applyFont="1" applyAlignment="1">
      <alignment horizontal="centerContinuous"/>
    </xf>
    <xf numFmtId="0" fontId="0" fillId="0" borderId="0" xfId="0" applyAlignment="1">
      <alignment horizontal="centerContinuous"/>
    </xf>
    <xf numFmtId="0" fontId="8" fillId="0" borderId="0" xfId="2" applyFont="1"/>
    <xf numFmtId="0" fontId="11" fillId="0" borderId="0" xfId="2"/>
    <xf numFmtId="0" fontId="8" fillId="0" borderId="0" xfId="2" applyFont="1" applyAlignment="1">
      <alignment horizontal="centerContinuous"/>
    </xf>
    <xf numFmtId="0" fontId="11" fillId="0" borderId="0" xfId="2" applyAlignment="1">
      <alignment horizontal="centerContinuous"/>
    </xf>
    <xf numFmtId="0" fontId="11" fillId="0" borderId="0" xfId="2" quotePrefix="1" applyAlignment="1">
      <alignment horizontal="centerContinuous"/>
    </xf>
    <xf numFmtId="0" fontId="13" fillId="0" borderId="15" xfId="2" applyFont="1" applyBorder="1" applyAlignment="1">
      <alignment horizontal="center"/>
    </xf>
    <xf numFmtId="0" fontId="13" fillId="0" borderId="16" xfId="2" applyFont="1" applyBorder="1" applyAlignment="1">
      <alignment horizontal="center"/>
    </xf>
    <xf numFmtId="0" fontId="13" fillId="0" borderId="16" xfId="2" applyFont="1" applyBorder="1" applyAlignment="1">
      <alignment horizontal="center" vertical="top"/>
    </xf>
    <xf numFmtId="0" fontId="13" fillId="0" borderId="15" xfId="2" applyFont="1" applyBorder="1" applyAlignment="1">
      <alignment horizontal="center" vertical="top"/>
    </xf>
    <xf numFmtId="0" fontId="13" fillId="0" borderId="17" xfId="2" applyFont="1" applyBorder="1" applyAlignment="1">
      <alignment horizontal="center" vertical="top"/>
    </xf>
    <xf numFmtId="0" fontId="14" fillId="3" borderId="18" xfId="2" applyFont="1" applyFill="1" applyBorder="1" applyAlignment="1">
      <alignment horizontal="right" vertical="top" wrapText="1" indent="2"/>
    </xf>
    <xf numFmtId="0" fontId="14" fillId="3" borderId="20" xfId="2" applyFont="1" applyFill="1" applyBorder="1" applyAlignment="1">
      <alignment horizontal="right" vertical="top" wrapText="1" indent="2"/>
    </xf>
    <xf numFmtId="0" fontId="14" fillId="0" borderId="18" xfId="2" applyFont="1" applyBorder="1" applyAlignment="1">
      <alignment horizontal="right" vertical="top" wrapText="1" indent="2"/>
    </xf>
    <xf numFmtId="3" fontId="14" fillId="3" borderId="18" xfId="2" applyNumberFormat="1" applyFont="1" applyFill="1" applyBorder="1" applyAlignment="1">
      <alignment horizontal="right" vertical="top" wrapText="1" indent="2"/>
    </xf>
    <xf numFmtId="3" fontId="14" fillId="0" borderId="18" xfId="2" applyNumberFormat="1" applyFont="1" applyBorder="1" applyAlignment="1">
      <alignment horizontal="right" vertical="top" wrapText="1" indent="2"/>
    </xf>
    <xf numFmtId="3" fontId="14" fillId="3" borderId="20" xfId="2" applyNumberFormat="1" applyFont="1" applyFill="1" applyBorder="1" applyAlignment="1">
      <alignment horizontal="right" vertical="top" wrapText="1" indent="2"/>
    </xf>
    <xf numFmtId="3" fontId="14" fillId="0" borderId="20" xfId="2" applyNumberFormat="1" applyFont="1" applyBorder="1" applyAlignment="1">
      <alignment horizontal="right" vertical="top" wrapText="1" indent="2"/>
    </xf>
    <xf numFmtId="3" fontId="14" fillId="2" borderId="18" xfId="2" applyNumberFormat="1" applyFont="1" applyFill="1" applyBorder="1" applyAlignment="1">
      <alignment horizontal="right" vertical="top" wrapText="1" indent="2"/>
    </xf>
    <xf numFmtId="0" fontId="11" fillId="0" borderId="0" xfId="0" applyFont="1"/>
    <xf numFmtId="0" fontId="8" fillId="0" borderId="9" xfId="0" applyFont="1" applyBorder="1" applyAlignment="1">
      <alignment horizontal="center"/>
    </xf>
    <xf numFmtId="0" fontId="11" fillId="0" borderId="23" xfId="2" applyBorder="1" applyAlignment="1">
      <alignment horizontal="center" vertical="center"/>
    </xf>
    <xf numFmtId="0" fontId="11" fillId="0" borderId="24" xfId="2" applyBorder="1" applyAlignment="1">
      <alignment horizontal="center" vertical="center"/>
    </xf>
    <xf numFmtId="0" fontId="11" fillId="0" borderId="19" xfId="2" applyBorder="1" applyAlignment="1">
      <alignment horizontal="center" vertical="center"/>
    </xf>
    <xf numFmtId="0" fontId="13" fillId="0" borderId="25" xfId="2" applyFont="1" applyBorder="1" applyAlignment="1">
      <alignment horizontal="left" vertical="center"/>
    </xf>
    <xf numFmtId="0" fontId="13" fillId="0" borderId="25" xfId="2" applyFont="1" applyBorder="1" applyAlignment="1">
      <alignment vertical="center"/>
    </xf>
    <xf numFmtId="0" fontId="13" fillId="0" borderId="23" xfId="2" applyFont="1" applyBorder="1" applyAlignment="1">
      <alignment vertical="center"/>
    </xf>
    <xf numFmtId="0" fontId="13" fillId="0" borderId="24" xfId="2" applyFont="1" applyBorder="1" applyAlignment="1">
      <alignment vertical="center"/>
    </xf>
    <xf numFmtId="0" fontId="13" fillId="0" borderId="19" xfId="2" applyFont="1" applyBorder="1" applyAlignment="1">
      <alignment vertical="center"/>
    </xf>
    <xf numFmtId="0" fontId="7" fillId="0" borderId="0" xfId="0" applyFont="1"/>
    <xf numFmtId="0" fontId="17" fillId="0" borderId="0" xfId="0" applyFont="1"/>
    <xf numFmtId="0" fontId="16" fillId="0" borderId="30" xfId="0" applyFont="1" applyBorder="1"/>
    <xf numFmtId="0" fontId="16" fillId="0" borderId="0" xfId="0" applyFont="1"/>
    <xf numFmtId="4" fontId="16" fillId="0" borderId="0" xfId="0" applyNumberFormat="1" applyFont="1"/>
    <xf numFmtId="0" fontId="16" fillId="0" borderId="31" xfId="0" applyFont="1" applyBorder="1"/>
    <xf numFmtId="0" fontId="16" fillId="0" borderId="17" xfId="0" applyFont="1" applyBorder="1"/>
    <xf numFmtId="0" fontId="16" fillId="0" borderId="22" xfId="0" applyFont="1" applyBorder="1" applyAlignment="1">
      <alignment horizontal="center"/>
    </xf>
    <xf numFmtId="0" fontId="16" fillId="0" borderId="22" xfId="0" applyFont="1" applyBorder="1"/>
    <xf numFmtId="0" fontId="27" fillId="0" borderId="0" xfId="0" applyFont="1"/>
    <xf numFmtId="166" fontId="27" fillId="0" borderId="0" xfId="0" applyNumberFormat="1" applyFont="1"/>
    <xf numFmtId="0" fontId="26" fillId="0" borderId="0" xfId="0" applyFont="1"/>
    <xf numFmtId="0" fontId="8" fillId="0" borderId="20" xfId="0" applyFont="1" applyBorder="1" applyAlignment="1">
      <alignment horizontal="center" wrapText="1"/>
    </xf>
    <xf numFmtId="0" fontId="8" fillId="0" borderId="38" xfId="0" applyFont="1" applyBorder="1" applyAlignment="1">
      <alignment horizontal="centerContinuous"/>
    </xf>
    <xf numFmtId="0" fontId="7" fillId="0" borderId="38" xfId="0" applyFont="1" applyBorder="1" applyAlignment="1">
      <alignment horizontal="centerContinuous"/>
    </xf>
    <xf numFmtId="0" fontId="7" fillId="0" borderId="30" xfId="0" applyFont="1" applyBorder="1"/>
    <xf numFmtId="0" fontId="8" fillId="0" borderId="0" xfId="0" applyFont="1" applyAlignment="1">
      <alignment horizontal="center"/>
    </xf>
    <xf numFmtId="0" fontId="8" fillId="0" borderId="10" xfId="0" applyFont="1" applyBorder="1" applyAlignment="1">
      <alignment horizontal="center"/>
    </xf>
    <xf numFmtId="0" fontId="8" fillId="0" borderId="1" xfId="0" applyFont="1" applyBorder="1" applyAlignment="1">
      <alignment horizontal="center"/>
    </xf>
    <xf numFmtId="5" fontId="7" fillId="0" borderId="0" xfId="0" applyNumberFormat="1" applyFont="1" applyAlignment="1">
      <alignment horizontal="center"/>
    </xf>
    <xf numFmtId="10" fontId="7" fillId="0" borderId="3" xfId="0" applyNumberFormat="1" applyFont="1" applyBorder="1" applyAlignment="1">
      <alignment horizontal="center"/>
    </xf>
    <xf numFmtId="5" fontId="7" fillId="0" borderId="0" xfId="0" applyNumberFormat="1" applyFont="1"/>
    <xf numFmtId="164" fontId="7" fillId="0" borderId="0" xfId="0" applyNumberFormat="1" applyFont="1" applyAlignment="1">
      <alignment horizontal="center"/>
    </xf>
    <xf numFmtId="3" fontId="7" fillId="0" borderId="0" xfId="0" applyNumberFormat="1" applyFont="1"/>
    <xf numFmtId="164" fontId="7" fillId="0" borderId="0" xfId="0" applyNumberFormat="1" applyFont="1"/>
    <xf numFmtId="0" fontId="7" fillId="0" borderId="22" xfId="0" applyFont="1" applyBorder="1"/>
    <xf numFmtId="10" fontId="7" fillId="0" borderId="22" xfId="0" applyNumberFormat="1" applyFont="1" applyBorder="1"/>
    <xf numFmtId="2" fontId="27" fillId="0" borderId="0" xfId="0" applyNumberFormat="1" applyFont="1"/>
    <xf numFmtId="0" fontId="27" fillId="0" borderId="31" xfId="0" applyFont="1" applyBorder="1"/>
    <xf numFmtId="0" fontId="27" fillId="0" borderId="31" xfId="0" applyFont="1" applyBorder="1" applyAlignment="1">
      <alignment horizontal="left"/>
    </xf>
    <xf numFmtId="0" fontId="27" fillId="0" borderId="22" xfId="0" applyFont="1" applyBorder="1"/>
    <xf numFmtId="0" fontId="27" fillId="0" borderId="43" xfId="0" applyFont="1" applyBorder="1" applyAlignment="1">
      <alignment horizontal="right"/>
    </xf>
    <xf numFmtId="0" fontId="30" fillId="0" borderId="0" xfId="0" applyFont="1"/>
    <xf numFmtId="0" fontId="17" fillId="0" borderId="0" xfId="2" applyFont="1"/>
    <xf numFmtId="44" fontId="30" fillId="0" borderId="0" xfId="1" applyFont="1"/>
    <xf numFmtId="166" fontId="8" fillId="0" borderId="39" xfId="2" applyNumberFormat="1" applyFont="1" applyBorder="1" applyAlignment="1">
      <alignment horizontal="center"/>
    </xf>
    <xf numFmtId="166" fontId="8" fillId="0" borderId="40" xfId="2" applyNumberFormat="1" applyFont="1" applyBorder="1" applyAlignment="1">
      <alignment horizontal="center"/>
    </xf>
    <xf numFmtId="0" fontId="7" fillId="4" borderId="31" xfId="0" applyFont="1" applyFill="1" applyBorder="1"/>
    <xf numFmtId="0" fontId="7" fillId="4" borderId="24" xfId="0" applyFont="1" applyFill="1" applyBorder="1"/>
    <xf numFmtId="0" fontId="7" fillId="4" borderId="30" xfId="0" applyFont="1" applyFill="1" applyBorder="1"/>
    <xf numFmtId="0" fontId="7" fillId="4" borderId="23" xfId="0" applyFont="1" applyFill="1" applyBorder="1"/>
    <xf numFmtId="0" fontId="7" fillId="4" borderId="0" xfId="0" applyFont="1" applyFill="1"/>
    <xf numFmtId="0" fontId="7" fillId="4" borderId="17" xfId="0" applyFont="1" applyFill="1" applyBorder="1"/>
    <xf numFmtId="0" fontId="7" fillId="4" borderId="22" xfId="0" applyFont="1" applyFill="1" applyBorder="1"/>
    <xf numFmtId="0" fontId="7" fillId="4" borderId="19" xfId="0" applyFont="1" applyFill="1" applyBorder="1"/>
    <xf numFmtId="0" fontId="8" fillId="4" borderId="31" xfId="0" applyFont="1" applyFill="1" applyBorder="1" applyAlignment="1">
      <alignment horizontal="center" wrapText="1"/>
    </xf>
    <xf numFmtId="10" fontId="7" fillId="4" borderId="17" xfId="0" applyNumberFormat="1" applyFont="1" applyFill="1" applyBorder="1"/>
    <xf numFmtId="10" fontId="7" fillId="4" borderId="19" xfId="0" applyNumberFormat="1" applyFont="1" applyFill="1" applyBorder="1"/>
    <xf numFmtId="0" fontId="7" fillId="10" borderId="0" xfId="0" applyFont="1" applyFill="1"/>
    <xf numFmtId="0" fontId="7" fillId="10" borderId="23" xfId="0" applyFont="1" applyFill="1" applyBorder="1"/>
    <xf numFmtId="0" fontId="7" fillId="10" borderId="17" xfId="0" applyFont="1" applyFill="1" applyBorder="1"/>
    <xf numFmtId="0" fontId="7" fillId="10" borderId="31" xfId="0" applyFont="1" applyFill="1" applyBorder="1"/>
    <xf numFmtId="3" fontId="7" fillId="10" borderId="0" xfId="0" applyNumberFormat="1" applyFont="1" applyFill="1"/>
    <xf numFmtId="164" fontId="7" fillId="10" borderId="0" xfId="0" applyNumberFormat="1" applyFont="1" applyFill="1"/>
    <xf numFmtId="0" fontId="8" fillId="10" borderId="0" xfId="0" applyFont="1" applyFill="1"/>
    <xf numFmtId="0" fontId="7" fillId="10" borderId="22" xfId="0" applyFont="1" applyFill="1" applyBorder="1"/>
    <xf numFmtId="0" fontId="7" fillId="10" borderId="19" xfId="0" applyFont="1" applyFill="1" applyBorder="1"/>
    <xf numFmtId="10" fontId="0" fillId="0" borderId="5" xfId="0" applyNumberFormat="1" applyBorder="1" applyAlignment="1">
      <alignment horizontal="right"/>
    </xf>
    <xf numFmtId="10" fontId="7" fillId="0" borderId="5" xfId="3" applyNumberFormat="1" applyBorder="1"/>
    <xf numFmtId="10" fontId="7" fillId="0" borderId="14" xfId="3" applyNumberFormat="1" applyBorder="1"/>
    <xf numFmtId="10" fontId="0" fillId="0" borderId="14" xfId="3" applyNumberFormat="1" applyFont="1" applyBorder="1" applyAlignment="1">
      <alignment horizontal="right"/>
    </xf>
    <xf numFmtId="10" fontId="0" fillId="0" borderId="5" xfId="3" applyNumberFormat="1" applyFont="1" applyBorder="1" applyAlignment="1">
      <alignment horizontal="right"/>
    </xf>
    <xf numFmtId="9" fontId="7" fillId="0" borderId="0" xfId="3"/>
    <xf numFmtId="10" fontId="7" fillId="0" borderId="41" xfId="3" applyNumberFormat="1" applyBorder="1"/>
    <xf numFmtId="10" fontId="7" fillId="0" borderId="39" xfId="3" applyNumberFormat="1" applyBorder="1"/>
    <xf numFmtId="10" fontId="7" fillId="0" borderId="29" xfId="3" applyNumberFormat="1" applyBorder="1"/>
    <xf numFmtId="10" fontId="0" fillId="0" borderId="29" xfId="3" applyNumberFormat="1" applyFont="1" applyBorder="1" applyAlignment="1">
      <alignment horizontal="right"/>
    </xf>
    <xf numFmtId="10" fontId="7" fillId="0" borderId="40" xfId="3" applyNumberFormat="1" applyBorder="1"/>
    <xf numFmtId="5" fontId="7" fillId="12" borderId="28" xfId="0" applyNumberFormat="1" applyFont="1" applyFill="1" applyBorder="1"/>
    <xf numFmtId="167" fontId="7" fillId="12" borderId="28" xfId="0" applyNumberFormat="1" applyFont="1" applyFill="1" applyBorder="1"/>
    <xf numFmtId="5" fontId="7" fillId="12" borderId="47" xfId="0" applyNumberFormat="1" applyFont="1" applyFill="1" applyBorder="1"/>
    <xf numFmtId="0" fontId="7" fillId="12" borderId="20" xfId="0" applyFont="1" applyFill="1" applyBorder="1" applyAlignment="1">
      <alignment horizontal="center"/>
    </xf>
    <xf numFmtId="10" fontId="0" fillId="12" borderId="5" xfId="0" applyNumberFormat="1" applyFill="1" applyBorder="1" applyAlignment="1">
      <alignment horizontal="right"/>
    </xf>
    <xf numFmtId="10" fontId="0" fillId="12" borderId="14" xfId="0" applyNumberFormat="1" applyFill="1" applyBorder="1" applyAlignment="1">
      <alignment horizontal="right"/>
    </xf>
    <xf numFmtId="10" fontId="0" fillId="12" borderId="29" xfId="0" applyNumberFormat="1" applyFill="1" applyBorder="1" applyAlignment="1">
      <alignment horizontal="right"/>
    </xf>
    <xf numFmtId="3" fontId="8" fillId="11" borderId="20" xfId="0" applyNumberFormat="1" applyFont="1" applyFill="1" applyBorder="1" applyAlignment="1">
      <alignment horizontal="center" vertical="top" wrapText="1"/>
    </xf>
    <xf numFmtId="0" fontId="7" fillId="11" borderId="25" xfId="0" applyFont="1" applyFill="1" applyBorder="1"/>
    <xf numFmtId="0" fontId="7" fillId="11" borderId="33" xfId="0" applyFont="1" applyFill="1" applyBorder="1" applyAlignment="1">
      <alignment horizontal="center"/>
    </xf>
    <xf numFmtId="0" fontId="7" fillId="11" borderId="21" xfId="0" applyFont="1" applyFill="1" applyBorder="1" applyAlignment="1">
      <alignment horizontal="center"/>
    </xf>
    <xf numFmtId="0" fontId="7" fillId="10" borderId="30" xfId="0" applyFont="1" applyFill="1" applyBorder="1"/>
    <xf numFmtId="0" fontId="8" fillId="4" borderId="31" xfId="0" applyFont="1" applyFill="1" applyBorder="1" applyAlignment="1">
      <alignment horizontal="right"/>
    </xf>
    <xf numFmtId="0" fontId="8" fillId="4" borderId="24" xfId="0" applyFont="1" applyFill="1" applyBorder="1" applyAlignment="1">
      <alignment horizontal="right"/>
    </xf>
    <xf numFmtId="0" fontId="8" fillId="0" borderId="20" xfId="0" applyFont="1" applyBorder="1" applyAlignment="1">
      <alignment vertical="center" wrapText="1"/>
    </xf>
    <xf numFmtId="9" fontId="7" fillId="10" borderId="17" xfId="3" applyFill="1" applyBorder="1"/>
    <xf numFmtId="4" fontId="19" fillId="0" borderId="0" xfId="0" applyNumberFormat="1" applyFont="1"/>
    <xf numFmtId="49" fontId="32" fillId="0" borderId="0" xfId="0" applyNumberFormat="1" applyFont="1"/>
    <xf numFmtId="0" fontId="32" fillId="0" borderId="0" xfId="0" applyFont="1"/>
    <xf numFmtId="0" fontId="8" fillId="4" borderId="50" xfId="2" applyFont="1" applyFill="1" applyBorder="1" applyAlignment="1">
      <alignment horizontal="center"/>
    </xf>
    <xf numFmtId="0" fontId="8" fillId="4" borderId="37" xfId="2" applyFont="1" applyFill="1" applyBorder="1" applyAlignment="1">
      <alignment horizontal="center"/>
    </xf>
    <xf numFmtId="166" fontId="8" fillId="0" borderId="28" xfId="2" applyNumberFormat="1" applyFont="1" applyBorder="1" applyAlignment="1">
      <alignment horizontal="center"/>
    </xf>
    <xf numFmtId="166" fontId="8" fillId="0" borderId="47" xfId="2" applyNumberFormat="1" applyFont="1" applyBorder="1" applyAlignment="1">
      <alignment horizontal="center"/>
    </xf>
    <xf numFmtId="0" fontId="8" fillId="13" borderId="0" xfId="2" applyFont="1" applyFill="1"/>
    <xf numFmtId="0" fontId="8" fillId="12" borderId="49" xfId="2" applyFont="1" applyFill="1" applyBorder="1" applyAlignment="1">
      <alignment horizontal="center"/>
    </xf>
    <xf numFmtId="166" fontId="8" fillId="12" borderId="14" xfId="2" applyNumberFormat="1" applyFont="1" applyFill="1" applyBorder="1" applyAlignment="1">
      <alignment horizontal="center"/>
    </xf>
    <xf numFmtId="166" fontId="8" fillId="12" borderId="29" xfId="2" applyNumberFormat="1" applyFont="1" applyFill="1" applyBorder="1" applyAlignment="1">
      <alignment horizontal="center"/>
    </xf>
    <xf numFmtId="0" fontId="8" fillId="13" borderId="23" xfId="2" applyFont="1" applyFill="1" applyBorder="1"/>
    <xf numFmtId="0" fontId="8" fillId="13" borderId="17" xfId="2" applyFont="1" applyFill="1" applyBorder="1"/>
    <xf numFmtId="0" fontId="8" fillId="13" borderId="31" xfId="2" applyFont="1" applyFill="1" applyBorder="1"/>
    <xf numFmtId="0" fontId="8" fillId="13" borderId="24" xfId="2" applyFont="1" applyFill="1" applyBorder="1"/>
    <xf numFmtId="0" fontId="8" fillId="13" borderId="22" xfId="2" applyFont="1" applyFill="1" applyBorder="1"/>
    <xf numFmtId="0" fontId="8" fillId="13" borderId="19" xfId="2" applyFont="1" applyFill="1" applyBorder="1"/>
    <xf numFmtId="0" fontId="8" fillId="13" borderId="25" xfId="2" applyFont="1" applyFill="1" applyBorder="1"/>
    <xf numFmtId="0" fontId="8" fillId="13" borderId="30" xfId="2" applyFont="1" applyFill="1" applyBorder="1"/>
    <xf numFmtId="0" fontId="6" fillId="0" borderId="0" xfId="7"/>
    <xf numFmtId="167" fontId="6" fillId="0" borderId="0" xfId="7" applyNumberFormat="1"/>
    <xf numFmtId="167" fontId="6" fillId="0" borderId="0" xfId="7" applyNumberFormat="1" applyAlignment="1">
      <alignment horizontal="right"/>
    </xf>
    <xf numFmtId="0" fontId="6" fillId="0" borderId="0" xfId="7" applyAlignment="1">
      <alignment horizontal="right"/>
    </xf>
    <xf numFmtId="3" fontId="6" fillId="0" borderId="0" xfId="7" applyNumberFormat="1"/>
    <xf numFmtId="0" fontId="34" fillId="0" borderId="0" xfId="7" applyFont="1"/>
    <xf numFmtId="0" fontId="35" fillId="0" borderId="0" xfId="7" applyFont="1"/>
    <xf numFmtId="0" fontId="34" fillId="0" borderId="33" xfId="7" applyFont="1" applyBorder="1"/>
    <xf numFmtId="0" fontId="34" fillId="0" borderId="34" xfId="7" applyFont="1" applyBorder="1" applyAlignment="1">
      <alignment horizontal="center"/>
    </xf>
    <xf numFmtId="0" fontId="34" fillId="0" borderId="21" xfId="7" applyFont="1" applyBorder="1"/>
    <xf numFmtId="0" fontId="34" fillId="0" borderId="20" xfId="7" applyFont="1" applyBorder="1" applyAlignment="1">
      <alignment horizontal="center"/>
    </xf>
    <xf numFmtId="0" fontId="34" fillId="0" borderId="20" xfId="7" applyFont="1" applyBorder="1"/>
    <xf numFmtId="0" fontId="34" fillId="0" borderId="34" xfId="7" applyFont="1" applyBorder="1"/>
    <xf numFmtId="167" fontId="34" fillId="0" borderId="34" xfId="7" applyNumberFormat="1" applyFont="1" applyBorder="1" applyAlignment="1">
      <alignment horizontal="center"/>
    </xf>
    <xf numFmtId="166" fontId="34" fillId="0" borderId="34" xfId="7" applyNumberFormat="1" applyFont="1" applyBorder="1" applyAlignment="1">
      <alignment horizontal="center"/>
    </xf>
    <xf numFmtId="166" fontId="6" fillId="0" borderId="21" xfId="7" applyNumberFormat="1" applyBorder="1" applyAlignment="1">
      <alignment horizontal="center"/>
    </xf>
    <xf numFmtId="0" fontId="6" fillId="0" borderId="14" xfId="7" applyBorder="1"/>
    <xf numFmtId="167" fontId="6" fillId="0" borderId="14" xfId="7" applyNumberFormat="1" applyBorder="1"/>
    <xf numFmtId="3" fontId="6" fillId="0" borderId="14" xfId="7" applyNumberFormat="1" applyBorder="1"/>
    <xf numFmtId="0" fontId="6" fillId="0" borderId="5" xfId="7" applyBorder="1"/>
    <xf numFmtId="167" fontId="6" fillId="0" borderId="5" xfId="7" applyNumberFormat="1" applyBorder="1"/>
    <xf numFmtId="3" fontId="6" fillId="0" borderId="5" xfId="7" applyNumberFormat="1" applyBorder="1"/>
    <xf numFmtId="0" fontId="34" fillId="0" borderId="31" xfId="7" applyFont="1" applyBorder="1"/>
    <xf numFmtId="167" fontId="6" fillId="0" borderId="0" xfId="7" applyNumberFormat="1" applyAlignment="1">
      <alignment horizontal="center"/>
    </xf>
    <xf numFmtId="166" fontId="6" fillId="0" borderId="0" xfId="7" applyNumberFormat="1" applyAlignment="1">
      <alignment horizontal="center"/>
    </xf>
    <xf numFmtId="166" fontId="6" fillId="0" borderId="17" xfId="7" applyNumberFormat="1" applyBorder="1" applyAlignment="1">
      <alignment horizontal="center"/>
    </xf>
    <xf numFmtId="0" fontId="6" fillId="0" borderId="28" xfId="7" applyBorder="1"/>
    <xf numFmtId="0" fontId="6" fillId="0" borderId="35" xfId="7" applyBorder="1"/>
    <xf numFmtId="0" fontId="6" fillId="0" borderId="47" xfId="7" applyBorder="1"/>
    <xf numFmtId="0" fontId="6" fillId="0" borderId="29" xfId="7" applyBorder="1"/>
    <xf numFmtId="167" fontId="6" fillId="0" borderId="29" xfId="7" applyNumberFormat="1" applyBorder="1"/>
    <xf numFmtId="3" fontId="6" fillId="0" borderId="29" xfId="7" applyNumberFormat="1" applyBorder="1"/>
    <xf numFmtId="167" fontId="34" fillId="0" borderId="34" xfId="7" applyNumberFormat="1" applyFont="1" applyBorder="1"/>
    <xf numFmtId="3" fontId="34" fillId="0" borderId="34" xfId="7" applyNumberFormat="1" applyFont="1" applyBorder="1"/>
    <xf numFmtId="0" fontId="6" fillId="0" borderId="21" xfId="7" applyBorder="1"/>
    <xf numFmtId="4" fontId="6" fillId="0" borderId="21" xfId="7" applyNumberFormat="1" applyBorder="1"/>
    <xf numFmtId="4" fontId="34" fillId="0" borderId="34" xfId="7" applyNumberFormat="1" applyFont="1" applyBorder="1"/>
    <xf numFmtId="167" fontId="34" fillId="0" borderId="0" xfId="7" applyNumberFormat="1" applyFont="1"/>
    <xf numFmtId="3" fontId="34" fillId="0" borderId="0" xfId="7" applyNumberFormat="1" applyFont="1"/>
    <xf numFmtId="167" fontId="34" fillId="0" borderId="0" xfId="7" applyNumberFormat="1" applyFont="1" applyAlignment="1">
      <alignment horizontal="center"/>
    </xf>
    <xf numFmtId="166" fontId="34" fillId="0" borderId="0" xfId="7" applyNumberFormat="1" applyFont="1" applyAlignment="1">
      <alignment horizontal="center"/>
    </xf>
    <xf numFmtId="0" fontId="34" fillId="0" borderId="47" xfId="7" applyFont="1" applyBorder="1"/>
    <xf numFmtId="0" fontId="35" fillId="13" borderId="0" xfId="7" applyFont="1" applyFill="1"/>
    <xf numFmtId="0" fontId="28" fillId="13" borderId="0" xfId="7" applyFont="1" applyFill="1"/>
    <xf numFmtId="0" fontId="6" fillId="13" borderId="0" xfId="7" applyFill="1"/>
    <xf numFmtId="0" fontId="34" fillId="13" borderId="0" xfId="7" applyFont="1" applyFill="1"/>
    <xf numFmtId="4" fontId="6" fillId="13" borderId="0" xfId="7" applyNumberFormat="1" applyFill="1"/>
    <xf numFmtId="0" fontId="6" fillId="13" borderId="0" xfId="7" applyFill="1" applyAlignment="1">
      <alignment horizontal="center"/>
    </xf>
    <xf numFmtId="167" fontId="6" fillId="13" borderId="0" xfId="7" applyNumberFormat="1" applyFill="1"/>
    <xf numFmtId="3" fontId="6" fillId="13" borderId="0" xfId="7" applyNumberFormat="1" applyFill="1"/>
    <xf numFmtId="167" fontId="6" fillId="13" borderId="0" xfId="7" applyNumberFormat="1" applyFill="1" applyAlignment="1">
      <alignment horizontal="center"/>
    </xf>
    <xf numFmtId="166" fontId="6" fillId="13" borderId="0" xfId="7" applyNumberFormat="1" applyFill="1" applyAlignment="1">
      <alignment horizontal="center"/>
    </xf>
    <xf numFmtId="167" fontId="34" fillId="0" borderId="21" xfId="7" applyNumberFormat="1" applyFont="1" applyBorder="1" applyAlignment="1">
      <alignment horizontal="center"/>
    </xf>
    <xf numFmtId="167" fontId="6" fillId="0" borderId="34" xfId="7" applyNumberFormat="1" applyBorder="1" applyAlignment="1">
      <alignment horizontal="right"/>
    </xf>
    <xf numFmtId="0" fontId="8" fillId="0" borderId="21" xfId="2" applyFont="1" applyBorder="1"/>
    <xf numFmtId="167" fontId="6" fillId="0" borderId="21" xfId="7" applyNumberFormat="1" applyBorder="1" applyAlignment="1">
      <alignment horizontal="right"/>
    </xf>
    <xf numFmtId="0" fontId="6" fillId="0" borderId="34" xfId="7" applyBorder="1"/>
    <xf numFmtId="0" fontId="6" fillId="0" borderId="34" xfId="7" applyBorder="1" applyAlignment="1">
      <alignment horizontal="right"/>
    </xf>
    <xf numFmtId="0" fontId="6" fillId="0" borderId="21" xfId="7" applyBorder="1" applyAlignment="1">
      <alignment horizontal="right"/>
    </xf>
    <xf numFmtId="167" fontId="34" fillId="0" borderId="34" xfId="7" applyNumberFormat="1" applyFont="1" applyBorder="1" applyAlignment="1">
      <alignment horizontal="right"/>
    </xf>
    <xf numFmtId="167" fontId="34" fillId="0" borderId="21" xfId="7" applyNumberFormat="1" applyFont="1" applyBorder="1" applyAlignment="1">
      <alignment horizontal="right"/>
    </xf>
    <xf numFmtId="167" fontId="34" fillId="0" borderId="21" xfId="7" applyNumberFormat="1" applyFont="1" applyBorder="1"/>
    <xf numFmtId="0" fontId="6" fillId="0" borderId="17" xfId="7" applyBorder="1"/>
    <xf numFmtId="0" fontId="6" fillId="0" borderId="23" xfId="7" applyBorder="1"/>
    <xf numFmtId="0" fontId="8" fillId="0" borderId="17" xfId="2" applyFont="1" applyBorder="1"/>
    <xf numFmtId="0" fontId="34" fillId="0" borderId="29" xfId="7" applyFont="1" applyBorder="1"/>
    <xf numFmtId="167" fontId="34" fillId="0" borderId="29" xfId="7" applyNumberFormat="1" applyFont="1" applyBorder="1"/>
    <xf numFmtId="3" fontId="34" fillId="0" borderId="29" xfId="7" applyNumberFormat="1" applyFont="1" applyBorder="1"/>
    <xf numFmtId="167" fontId="6" fillId="13" borderId="0" xfId="7" applyNumberFormat="1" applyFill="1" applyAlignment="1">
      <alignment horizontal="right"/>
    </xf>
    <xf numFmtId="167" fontId="34" fillId="13" borderId="0" xfId="7" applyNumberFormat="1" applyFont="1" applyFill="1"/>
    <xf numFmtId="3" fontId="34" fillId="13" borderId="0" xfId="7" applyNumberFormat="1" applyFont="1" applyFill="1"/>
    <xf numFmtId="0" fontId="6" fillId="13" borderId="0" xfId="7" applyFill="1" applyAlignment="1">
      <alignment horizontal="right"/>
    </xf>
    <xf numFmtId="0" fontId="34" fillId="0" borderId="24" xfId="7" applyFont="1" applyBorder="1"/>
    <xf numFmtId="0" fontId="8" fillId="0" borderId="22" xfId="2" applyFont="1" applyBorder="1"/>
    <xf numFmtId="0" fontId="8" fillId="0" borderId="19" xfId="2" applyFont="1" applyBorder="1"/>
    <xf numFmtId="0" fontId="34" fillId="0" borderId="22" xfId="7" applyFont="1" applyBorder="1"/>
    <xf numFmtId="167" fontId="34" fillId="0" borderId="22" xfId="7" applyNumberFormat="1" applyFont="1" applyBorder="1"/>
    <xf numFmtId="3" fontId="34" fillId="0" borderId="22" xfId="7" applyNumberFormat="1" applyFont="1" applyBorder="1"/>
    <xf numFmtId="167" fontId="34" fillId="0" borderId="22" xfId="7" applyNumberFormat="1" applyFont="1" applyBorder="1" applyAlignment="1">
      <alignment horizontal="center"/>
    </xf>
    <xf numFmtId="166" fontId="34" fillId="0" borderId="22" xfId="7" applyNumberFormat="1" applyFont="1" applyBorder="1" applyAlignment="1">
      <alignment horizontal="center"/>
    </xf>
    <xf numFmtId="0" fontId="6" fillId="0" borderId="19" xfId="7" applyBorder="1"/>
    <xf numFmtId="0" fontId="6" fillId="0" borderId="22" xfId="7" applyBorder="1"/>
    <xf numFmtId="166" fontId="6" fillId="0" borderId="19" xfId="7" applyNumberFormat="1" applyBorder="1" applyAlignment="1">
      <alignment horizontal="center"/>
    </xf>
    <xf numFmtId="4" fontId="34" fillId="0" borderId="22" xfId="7" applyNumberFormat="1" applyFont="1" applyBorder="1"/>
    <xf numFmtId="167" fontId="6" fillId="0" borderId="22" xfId="7" applyNumberFormat="1" applyBorder="1" applyAlignment="1">
      <alignment horizontal="right"/>
    </xf>
    <xf numFmtId="0" fontId="6" fillId="0" borderId="22" xfId="7" applyBorder="1" applyAlignment="1">
      <alignment horizontal="right"/>
    </xf>
    <xf numFmtId="167" fontId="34" fillId="13" borderId="0" xfId="7" applyNumberFormat="1" applyFont="1" applyFill="1" applyAlignment="1">
      <alignment horizontal="center"/>
    </xf>
    <xf numFmtId="166" fontId="34" fillId="13" borderId="0" xfId="7" applyNumberFormat="1" applyFont="1" applyFill="1" applyAlignment="1">
      <alignment horizontal="center"/>
    </xf>
    <xf numFmtId="4" fontId="34" fillId="13" borderId="0" xfId="7" applyNumberFormat="1" applyFont="1" applyFill="1"/>
    <xf numFmtId="0" fontId="36" fillId="0" borderId="52" xfId="6" applyFont="1" applyBorder="1"/>
    <xf numFmtId="0" fontId="36" fillId="0" borderId="0" xfId="6" applyFont="1"/>
    <xf numFmtId="0" fontId="37" fillId="0" borderId="0" xfId="0" applyFont="1"/>
    <xf numFmtId="0" fontId="26" fillId="6" borderId="14" xfId="0" applyFont="1" applyFill="1" applyBorder="1" applyAlignment="1">
      <alignment horizontal="center"/>
    </xf>
    <xf numFmtId="9" fontId="26" fillId="6" borderId="14" xfId="3" applyFont="1" applyFill="1" applyBorder="1" applyAlignment="1">
      <alignment horizontal="center"/>
    </xf>
    <xf numFmtId="0" fontId="26" fillId="6" borderId="27" xfId="0" applyFont="1" applyFill="1" applyBorder="1" applyAlignment="1">
      <alignment horizontal="center"/>
    </xf>
    <xf numFmtId="0" fontId="26" fillId="6" borderId="48" xfId="0" applyFont="1" applyFill="1" applyBorder="1" applyAlignment="1">
      <alignment horizontal="center"/>
    </xf>
    <xf numFmtId="9" fontId="26" fillId="6" borderId="39" xfId="3" applyFont="1" applyFill="1" applyBorder="1" applyAlignment="1">
      <alignment horizontal="center"/>
    </xf>
    <xf numFmtId="0" fontId="26" fillId="6" borderId="39" xfId="0" applyFont="1" applyFill="1" applyBorder="1" applyAlignment="1">
      <alignment horizontal="center"/>
    </xf>
    <xf numFmtId="166" fontId="26" fillId="0" borderId="26" xfId="0" applyNumberFormat="1" applyFont="1" applyBorder="1"/>
    <xf numFmtId="0" fontId="27" fillId="0" borderId="30" xfId="0" applyFont="1" applyBorder="1"/>
    <xf numFmtId="0" fontId="7" fillId="0" borderId="4" xfId="0" applyFont="1" applyBorder="1" applyAlignment="1">
      <alignment horizontal="left" indent="1"/>
    </xf>
    <xf numFmtId="0" fontId="25" fillId="0" borderId="0" xfId="5" applyFont="1"/>
    <xf numFmtId="0" fontId="18" fillId="0" borderId="0" xfId="5" applyFont="1"/>
    <xf numFmtId="166" fontId="8" fillId="0" borderId="14" xfId="2" applyNumberFormat="1" applyFont="1" applyBorder="1" applyAlignment="1">
      <alignment horizontal="center"/>
    </xf>
    <xf numFmtId="0" fontId="8" fillId="12" borderId="26" xfId="2" applyFont="1" applyFill="1" applyBorder="1" applyAlignment="1">
      <alignment horizontal="center"/>
    </xf>
    <xf numFmtId="0" fontId="8" fillId="4" borderId="27" xfId="2" applyFont="1" applyFill="1" applyBorder="1" applyAlignment="1">
      <alignment horizontal="center"/>
    </xf>
    <xf numFmtId="0" fontId="8" fillId="12" borderId="27" xfId="2" applyFont="1" applyFill="1" applyBorder="1" applyAlignment="1">
      <alignment horizontal="center"/>
    </xf>
    <xf numFmtId="0" fontId="8" fillId="4" borderId="48" xfId="2" applyFont="1" applyFill="1" applyBorder="1" applyAlignment="1">
      <alignment horizontal="center"/>
    </xf>
    <xf numFmtId="166" fontId="8" fillId="12" borderId="28" xfId="2" applyNumberFormat="1" applyFont="1" applyFill="1" applyBorder="1" applyAlignment="1">
      <alignment horizontal="center"/>
    </xf>
    <xf numFmtId="166" fontId="8" fillId="12" borderId="47" xfId="2" applyNumberFormat="1" applyFont="1" applyFill="1" applyBorder="1" applyAlignment="1">
      <alignment horizontal="center"/>
    </xf>
    <xf numFmtId="166" fontId="8" fillId="0" borderId="29" xfId="2" applyNumberFormat="1" applyFont="1" applyBorder="1" applyAlignment="1">
      <alignment horizontal="center"/>
    </xf>
    <xf numFmtId="0" fontId="8" fillId="4" borderId="52" xfId="2" applyFont="1" applyFill="1" applyBorder="1" applyAlignment="1">
      <alignment horizontal="center"/>
    </xf>
    <xf numFmtId="0" fontId="36" fillId="0" borderId="15" xfId="6" applyFont="1" applyBorder="1"/>
    <xf numFmtId="0" fontId="36" fillId="0" borderId="16" xfId="6" applyFont="1" applyBorder="1"/>
    <xf numFmtId="0" fontId="36" fillId="0" borderId="18" xfId="6" applyFont="1" applyBorder="1"/>
    <xf numFmtId="0" fontId="26" fillId="0" borderId="0" xfId="0" applyFont="1" applyAlignment="1">
      <alignment horizontal="center"/>
    </xf>
    <xf numFmtId="9" fontId="26" fillId="0" borderId="0" xfId="3" applyFont="1" applyAlignment="1">
      <alignment horizontal="center"/>
    </xf>
    <xf numFmtId="0" fontId="20" fillId="0" borderId="0" xfId="5" applyFont="1"/>
    <xf numFmtId="0" fontId="21" fillId="0" borderId="25" xfId="0" applyFont="1" applyBorder="1"/>
    <xf numFmtId="4" fontId="16" fillId="0" borderId="30" xfId="0" applyNumberFormat="1" applyFont="1" applyBorder="1"/>
    <xf numFmtId="0" fontId="16" fillId="0" borderId="23" xfId="0" applyFont="1" applyBorder="1"/>
    <xf numFmtId="4" fontId="21" fillId="0" borderId="0" xfId="0" applyNumberFormat="1" applyFont="1"/>
    <xf numFmtId="4" fontId="21" fillId="0" borderId="17" xfId="0" applyNumberFormat="1" applyFont="1" applyBorder="1" applyAlignment="1">
      <alignment horizontal="center"/>
    </xf>
    <xf numFmtId="0" fontId="21" fillId="0" borderId="31" xfId="6" applyFont="1" applyBorder="1" applyAlignment="1">
      <alignment horizontal="left" vertical="center"/>
    </xf>
    <xf numFmtId="0" fontId="21" fillId="0" borderId="0" xfId="6" applyFont="1" applyAlignment="1">
      <alignment horizontal="left" vertical="center"/>
    </xf>
    <xf numFmtId="4" fontId="42" fillId="0" borderId="0" xfId="0" applyNumberFormat="1" applyFont="1"/>
    <xf numFmtId="4" fontId="43" fillId="0" borderId="24" xfId="0" applyNumberFormat="1" applyFont="1" applyBorder="1" applyAlignment="1">
      <alignment horizontal="left" vertical="center"/>
    </xf>
    <xf numFmtId="4" fontId="43" fillId="0" borderId="22" xfId="0" applyNumberFormat="1" applyFont="1" applyBorder="1" applyAlignment="1">
      <alignment horizontal="left" vertical="center"/>
    </xf>
    <xf numFmtId="165" fontId="16" fillId="0" borderId="22" xfId="1" applyNumberFormat="1" applyFont="1" applyBorder="1" applyAlignment="1">
      <alignment horizontal="left"/>
    </xf>
    <xf numFmtId="4" fontId="21" fillId="0" borderId="19" xfId="0" applyNumberFormat="1" applyFont="1" applyBorder="1" applyAlignment="1">
      <alignment horizontal="center"/>
    </xf>
    <xf numFmtId="0" fontId="21" fillId="0" borderId="25" xfId="0" applyFont="1" applyBorder="1" applyAlignment="1">
      <alignment horizontal="center" vertical="center"/>
    </xf>
    <xf numFmtId="0" fontId="16" fillId="0" borderId="31" xfId="0" applyFont="1" applyBorder="1" applyAlignment="1">
      <alignment horizontal="left" vertical="center"/>
    </xf>
    <xf numFmtId="44" fontId="21" fillId="0" borderId="35" xfId="1" applyFont="1" applyBorder="1"/>
    <xf numFmtId="44" fontId="16" fillId="0" borderId="5" xfId="1" applyFont="1" applyBorder="1"/>
    <xf numFmtId="44" fontId="16" fillId="0" borderId="28" xfId="1" applyFont="1" applyBorder="1"/>
    <xf numFmtId="44" fontId="16" fillId="0" borderId="14" xfId="1" applyFont="1" applyBorder="1"/>
    <xf numFmtId="0" fontId="16" fillId="0" borderId="36" xfId="0" applyFont="1" applyBorder="1" applyAlignment="1">
      <alignment horizontal="left" indent="1"/>
    </xf>
    <xf numFmtId="44" fontId="16" fillId="0" borderId="47" xfId="1" applyFont="1" applyBorder="1"/>
    <xf numFmtId="44" fontId="16" fillId="0" borderId="29" xfId="1" applyFont="1" applyBorder="1"/>
    <xf numFmtId="0" fontId="21" fillId="0" borderId="31" xfId="0" applyFont="1" applyBorder="1"/>
    <xf numFmtId="0" fontId="21" fillId="0" borderId="24" xfId="0" applyFont="1" applyBorder="1"/>
    <xf numFmtId="0" fontId="16" fillId="0" borderId="24" xfId="0" applyFont="1" applyBorder="1"/>
    <xf numFmtId="0" fontId="16" fillId="0" borderId="54" xfId="0" applyFont="1" applyBorder="1" applyAlignment="1">
      <alignment horizontal="center"/>
    </xf>
    <xf numFmtId="0" fontId="16" fillId="0" borderId="55" xfId="0" applyFont="1" applyBorder="1" applyAlignment="1">
      <alignment horizontal="center"/>
    </xf>
    <xf numFmtId="0" fontId="43" fillId="0" borderId="56" xfId="0" applyFont="1" applyBorder="1" applyAlignment="1">
      <alignment horizontal="center"/>
    </xf>
    <xf numFmtId="0" fontId="26" fillId="6" borderId="0" xfId="0" applyFont="1" applyFill="1" applyAlignment="1">
      <alignment horizontal="left"/>
    </xf>
    <xf numFmtId="0" fontId="8" fillId="11" borderId="18" xfId="2" applyFont="1" applyFill="1" applyBorder="1"/>
    <xf numFmtId="164" fontId="8" fillId="11" borderId="18" xfId="3" applyNumberFormat="1" applyFont="1" applyFill="1" applyBorder="1" applyAlignment="1">
      <alignment horizontal="right"/>
    </xf>
    <xf numFmtId="0" fontId="36" fillId="0" borderId="25" xfId="6" applyFont="1" applyBorder="1"/>
    <xf numFmtId="0" fontId="36" fillId="0" borderId="31" xfId="6" applyFont="1" applyBorder="1"/>
    <xf numFmtId="0" fontId="36" fillId="0" borderId="24" xfId="6" applyFont="1" applyBorder="1"/>
    <xf numFmtId="0" fontId="8" fillId="4" borderId="25" xfId="2" applyFont="1" applyFill="1" applyBorder="1" applyAlignment="1">
      <alignment horizontal="center"/>
    </xf>
    <xf numFmtId="0" fontId="8" fillId="4" borderId="23" xfId="2" applyFont="1" applyFill="1" applyBorder="1" applyAlignment="1">
      <alignment horizontal="center"/>
    </xf>
    <xf numFmtId="0" fontId="8" fillId="4" borderId="31" xfId="2" applyFont="1" applyFill="1" applyBorder="1" applyAlignment="1">
      <alignment horizontal="center"/>
    </xf>
    <xf numFmtId="0" fontId="8" fillId="4" borderId="17" xfId="2" applyFont="1" applyFill="1" applyBorder="1" applyAlignment="1">
      <alignment horizontal="center"/>
    </xf>
    <xf numFmtId="0" fontId="8" fillId="4" borderId="24" xfId="2" applyFont="1" applyFill="1" applyBorder="1" applyAlignment="1">
      <alignment horizontal="center"/>
    </xf>
    <xf numFmtId="0" fontId="8" fillId="4" borderId="19" xfId="2" applyFont="1" applyFill="1" applyBorder="1" applyAlignment="1">
      <alignment horizontal="center"/>
    </xf>
    <xf numFmtId="0" fontId="8" fillId="4" borderId="51" xfId="2" applyFont="1" applyFill="1" applyBorder="1" applyAlignment="1">
      <alignment horizontal="center"/>
    </xf>
    <xf numFmtId="166" fontId="8" fillId="0" borderId="11" xfId="2" applyNumberFormat="1" applyFont="1" applyBorder="1" applyAlignment="1">
      <alignment horizontal="center"/>
    </xf>
    <xf numFmtId="166" fontId="8" fillId="0" borderId="44" xfId="2" applyNumberFormat="1" applyFont="1" applyBorder="1" applyAlignment="1">
      <alignment horizontal="center"/>
    </xf>
    <xf numFmtId="0" fontId="8" fillId="4" borderId="46" xfId="2" applyFont="1" applyFill="1" applyBorder="1" applyAlignment="1">
      <alignment horizontal="center"/>
    </xf>
    <xf numFmtId="166" fontId="8" fillId="0" borderId="42" xfId="2" applyNumberFormat="1" applyFont="1" applyBorder="1" applyAlignment="1">
      <alignment horizontal="center"/>
    </xf>
    <xf numFmtId="166" fontId="8" fillId="0" borderId="60" xfId="2" applyNumberFormat="1" applyFont="1" applyBorder="1" applyAlignment="1">
      <alignment horizontal="center"/>
    </xf>
    <xf numFmtId="0" fontId="27" fillId="0" borderId="1" xfId="0" applyFont="1" applyBorder="1"/>
    <xf numFmtId="0" fontId="27" fillId="0" borderId="10" xfId="0" applyFont="1" applyBorder="1"/>
    <xf numFmtId="0" fontId="27" fillId="0" borderId="22" xfId="0" applyFont="1" applyBorder="1" applyAlignment="1">
      <alignment horizontal="right"/>
    </xf>
    <xf numFmtId="0" fontId="27" fillId="0" borderId="0" xfId="0" applyFont="1" applyAlignment="1">
      <alignment horizontal="center"/>
    </xf>
    <xf numFmtId="0" fontId="26" fillId="0" borderId="0" xfId="0" applyFont="1" applyAlignment="1">
      <alignment horizontal="left"/>
    </xf>
    <xf numFmtId="0" fontId="24" fillId="0" borderId="0" xfId="0" applyFont="1"/>
    <xf numFmtId="0" fontId="38" fillId="0" borderId="0" xfId="0" applyFont="1" applyAlignment="1">
      <alignment horizontal="center"/>
    </xf>
    <xf numFmtId="0" fontId="33" fillId="0" borderId="0" xfId="0" applyFont="1"/>
    <xf numFmtId="0" fontId="26" fillId="0" borderId="0" xfId="0" applyFont="1" applyAlignment="1">
      <alignment horizontal="right"/>
    </xf>
    <xf numFmtId="166" fontId="26" fillId="0" borderId="0" xfId="0" applyNumberFormat="1" applyFont="1" applyAlignment="1">
      <alignment horizontal="left" indent="1"/>
    </xf>
    <xf numFmtId="164" fontId="27" fillId="0" borderId="0" xfId="3" applyNumberFormat="1" applyFont="1" applyAlignment="1">
      <alignment horizontal="center" vertical="center"/>
    </xf>
    <xf numFmtId="0" fontId="27" fillId="5" borderId="14" xfId="0" applyFont="1" applyFill="1" applyBorder="1" applyAlignment="1">
      <alignment horizontal="center"/>
    </xf>
    <xf numFmtId="9" fontId="27" fillId="5" borderId="14" xfId="3" applyFont="1" applyFill="1" applyBorder="1" applyAlignment="1">
      <alignment horizontal="center"/>
    </xf>
    <xf numFmtId="2" fontId="27" fillId="0" borderId="14" xfId="0" applyNumberFormat="1" applyFont="1" applyBorder="1" applyAlignment="1">
      <alignment horizontal="center"/>
    </xf>
    <xf numFmtId="44" fontId="27" fillId="0" borderId="45" xfId="1" applyFont="1" applyBorder="1"/>
    <xf numFmtId="44" fontId="27" fillId="0" borderId="17" xfId="1" applyFont="1" applyBorder="1"/>
    <xf numFmtId="44" fontId="27" fillId="0" borderId="17" xfId="1" applyFont="1" applyBorder="1" applyAlignment="1">
      <alignment horizontal="right" indent="1"/>
    </xf>
    <xf numFmtId="166" fontId="26" fillId="5" borderId="14" xfId="1" applyNumberFormat="1" applyFont="1" applyFill="1" applyBorder="1" applyAlignment="1">
      <alignment horizontal="center"/>
    </xf>
    <xf numFmtId="166" fontId="26" fillId="5" borderId="39" xfId="1" applyNumberFormat="1" applyFont="1" applyFill="1" applyBorder="1" applyAlignment="1">
      <alignment horizontal="center"/>
    </xf>
    <xf numFmtId="0" fontId="26" fillId="0" borderId="61" xfId="0" applyFont="1" applyBorder="1"/>
    <xf numFmtId="3" fontId="26" fillId="6" borderId="62" xfId="0" applyNumberFormat="1" applyFont="1" applyFill="1" applyBorder="1" applyAlignment="1">
      <alignment horizontal="center"/>
    </xf>
    <xf numFmtId="0" fontId="26" fillId="0" borderId="28" xfId="0" applyFont="1" applyBorder="1"/>
    <xf numFmtId="3" fontId="26" fillId="6" borderId="39" xfId="0" applyNumberFormat="1" applyFont="1" applyFill="1" applyBorder="1" applyAlignment="1">
      <alignment horizontal="center"/>
    </xf>
    <xf numFmtId="166" fontId="26" fillId="0" borderId="20" xfId="0" applyNumberFormat="1" applyFont="1" applyBorder="1" applyAlignment="1">
      <alignment horizontal="center"/>
    </xf>
    <xf numFmtId="166" fontId="26" fillId="0" borderId="31" xfId="0" applyNumberFormat="1" applyFont="1" applyBorder="1" applyAlignment="1">
      <alignment horizontal="right"/>
    </xf>
    <xf numFmtId="0" fontId="3" fillId="0" borderId="0" xfId="17"/>
    <xf numFmtId="0" fontId="3" fillId="16" borderId="22" xfId="17" applyFill="1" applyBorder="1" applyAlignment="1">
      <alignment horizontal="right" vertical="top"/>
    </xf>
    <xf numFmtId="0" fontId="3" fillId="16" borderId="31" xfId="17" applyFill="1" applyBorder="1"/>
    <xf numFmtId="0" fontId="3" fillId="16" borderId="22" xfId="17" applyFill="1" applyBorder="1" applyAlignment="1">
      <alignment horizontal="left" vertical="top" indent="1"/>
    </xf>
    <xf numFmtId="0" fontId="3" fillId="16" borderId="22" xfId="17" applyFill="1" applyBorder="1" applyAlignment="1">
      <alignment horizontal="left" indent="1"/>
    </xf>
    <xf numFmtId="0" fontId="21" fillId="16" borderId="25" xfId="2" applyFont="1" applyFill="1" applyBorder="1"/>
    <xf numFmtId="0" fontId="21" fillId="16" borderId="30" xfId="2" applyFont="1" applyFill="1" applyBorder="1"/>
    <xf numFmtId="0" fontId="21" fillId="16" borderId="23" xfId="2" applyFont="1" applyFill="1" applyBorder="1"/>
    <xf numFmtId="0" fontId="21" fillId="16" borderId="17" xfId="2" applyFont="1" applyFill="1" applyBorder="1"/>
    <xf numFmtId="0" fontId="21" fillId="16" borderId="31" xfId="2" applyFont="1" applyFill="1" applyBorder="1"/>
    <xf numFmtId="0" fontId="21" fillId="16" borderId="24" xfId="2" applyFont="1" applyFill="1" applyBorder="1"/>
    <xf numFmtId="0" fontId="21" fillId="16" borderId="22" xfId="2" applyFont="1" applyFill="1" applyBorder="1"/>
    <xf numFmtId="0" fontId="40" fillId="0" borderId="25" xfId="6" applyFont="1" applyBorder="1" applyAlignment="1">
      <alignment horizontal="right"/>
    </xf>
    <xf numFmtId="0" fontId="26" fillId="0" borderId="31" xfId="0" applyFont="1" applyBorder="1" applyAlignment="1">
      <alignment horizontal="right"/>
    </xf>
    <xf numFmtId="166" fontId="26" fillId="0" borderId="24" xfId="0" applyNumberFormat="1" applyFont="1" applyBorder="1" applyAlignment="1">
      <alignment horizontal="right"/>
    </xf>
    <xf numFmtId="166" fontId="26" fillId="0" borderId="0" xfId="1" applyNumberFormat="1" applyFont="1" applyAlignment="1">
      <alignment horizontal="center"/>
    </xf>
    <xf numFmtId="166" fontId="27" fillId="0" borderId="0" xfId="1" applyNumberFormat="1" applyFont="1" applyAlignment="1">
      <alignment horizontal="center"/>
    </xf>
    <xf numFmtId="2" fontId="27" fillId="5" borderId="58" xfId="3" applyNumberFormat="1" applyFont="1" applyFill="1" applyBorder="1" applyAlignment="1">
      <alignment horizontal="center"/>
    </xf>
    <xf numFmtId="166" fontId="27" fillId="0" borderId="63" xfId="0" applyNumberFormat="1" applyFont="1" applyBorder="1"/>
    <xf numFmtId="0" fontId="27" fillId="0" borderId="32" xfId="0" applyFont="1" applyBorder="1"/>
    <xf numFmtId="164" fontId="27" fillId="0" borderId="1" xfId="3" applyNumberFormat="1" applyFont="1" applyBorder="1" applyAlignment="1">
      <alignment horizontal="center" vertical="center"/>
    </xf>
    <xf numFmtId="0" fontId="26" fillId="0" borderId="31"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17" xfId="0" applyFont="1" applyBorder="1" applyAlignment="1">
      <alignment horizontal="center" vertical="center"/>
    </xf>
    <xf numFmtId="2" fontId="27" fillId="0" borderId="0" xfId="0" applyNumberFormat="1" applyFont="1" applyAlignment="1">
      <alignment horizontal="center"/>
    </xf>
    <xf numFmtId="164" fontId="27" fillId="15" borderId="14" xfId="3" applyNumberFormat="1" applyFont="1" applyFill="1" applyBorder="1" applyAlignment="1">
      <alignment horizontal="center" vertical="center"/>
    </xf>
    <xf numFmtId="166" fontId="26" fillId="4" borderId="58" xfId="0" applyNumberFormat="1" applyFont="1" applyFill="1" applyBorder="1" applyAlignment="1">
      <alignment horizontal="center"/>
    </xf>
    <xf numFmtId="44" fontId="16" fillId="0" borderId="2" xfId="1" applyFont="1" applyBorder="1"/>
    <xf numFmtId="44" fontId="16" fillId="0" borderId="11" xfId="1" applyFont="1" applyBorder="1"/>
    <xf numFmtId="44" fontId="16" fillId="0" borderId="44" xfId="1" applyFont="1" applyBorder="1"/>
    <xf numFmtId="44" fontId="21" fillId="0" borderId="26" xfId="1" applyFont="1" applyBorder="1"/>
    <xf numFmtId="44" fontId="16" fillId="0" borderId="27" xfId="1" applyFont="1" applyBorder="1"/>
    <xf numFmtId="44" fontId="16" fillId="0" borderId="51" xfId="1" applyFont="1" applyBorder="1"/>
    <xf numFmtId="9" fontId="27" fillId="0" borderId="14" xfId="3" applyFont="1" applyBorder="1" applyAlignment="1">
      <alignment horizontal="center"/>
    </xf>
    <xf numFmtId="167" fontId="7" fillId="0" borderId="31" xfId="0" applyNumberFormat="1" applyFont="1" applyBorder="1" applyAlignment="1">
      <alignment horizontal="right"/>
    </xf>
    <xf numFmtId="5" fontId="7" fillId="0" borderId="31" xfId="0" applyNumberFormat="1" applyFont="1" applyBorder="1"/>
    <xf numFmtId="5" fontId="7" fillId="0" borderId="24" xfId="0" applyNumberFormat="1" applyFont="1" applyBorder="1"/>
    <xf numFmtId="167" fontId="7" fillId="0" borderId="22" xfId="0" applyNumberFormat="1" applyFont="1" applyBorder="1" applyAlignment="1">
      <alignment horizontal="right"/>
    </xf>
    <xf numFmtId="9" fontId="8" fillId="0" borderId="58" xfId="3" applyFont="1" applyBorder="1" applyAlignment="1">
      <alignment horizontal="center"/>
    </xf>
    <xf numFmtId="9" fontId="8" fillId="0" borderId="59" xfId="3" applyFont="1" applyBorder="1" applyAlignment="1">
      <alignment horizontal="center"/>
    </xf>
    <xf numFmtId="166" fontId="8" fillId="0" borderId="0" xfId="2" applyNumberFormat="1" applyFont="1" applyAlignment="1">
      <alignment horizontal="center"/>
    </xf>
    <xf numFmtId="0" fontId="8" fillId="11" borderId="15" xfId="2" applyFont="1" applyFill="1" applyBorder="1"/>
    <xf numFmtId="0" fontId="8" fillId="11" borderId="16" xfId="2" applyFont="1" applyFill="1" applyBorder="1"/>
    <xf numFmtId="0" fontId="27" fillId="0" borderId="0" xfId="0" applyFont="1" applyAlignment="1">
      <alignment wrapText="1"/>
    </xf>
    <xf numFmtId="2" fontId="27" fillId="0" borderId="0" xfId="3" applyNumberFormat="1" applyFont="1" applyAlignment="1">
      <alignment horizontal="center"/>
    </xf>
    <xf numFmtId="166" fontId="26" fillId="0" borderId="33" xfId="0" applyNumberFormat="1" applyFont="1" applyBorder="1" applyAlignment="1">
      <alignment horizontal="right" indent="1"/>
    </xf>
    <xf numFmtId="166" fontId="26" fillId="0" borderId="21" xfId="0" applyNumberFormat="1" applyFont="1" applyBorder="1" applyAlignment="1">
      <alignment horizontal="right" indent="1"/>
    </xf>
    <xf numFmtId="0" fontId="8" fillId="11" borderId="33" xfId="2" applyFont="1" applyFill="1" applyBorder="1" applyAlignment="1">
      <alignment horizontal="center"/>
    </xf>
    <xf numFmtId="0" fontId="26" fillId="6" borderId="20" xfId="0" applyFont="1" applyFill="1" applyBorder="1" applyAlignment="1">
      <alignment horizontal="center"/>
    </xf>
    <xf numFmtId="0" fontId="27" fillId="0" borderId="32" xfId="6" applyFont="1" applyBorder="1"/>
    <xf numFmtId="0" fontId="47" fillId="0" borderId="10" xfId="0" applyFont="1" applyBorder="1"/>
    <xf numFmtId="0" fontId="48" fillId="0" borderId="0" xfId="0" applyFont="1"/>
    <xf numFmtId="5" fontId="7" fillId="0" borderId="31" xfId="0" applyNumberFormat="1" applyFont="1" applyBorder="1" applyAlignment="1">
      <alignment horizontal="right"/>
    </xf>
    <xf numFmtId="7" fontId="7" fillId="10" borderId="0" xfId="0" applyNumberFormat="1" applyFont="1" applyFill="1"/>
    <xf numFmtId="167" fontId="6" fillId="0" borderId="14" xfId="7" applyNumberFormat="1" applyBorder="1" applyAlignment="1">
      <alignment horizontal="center"/>
    </xf>
    <xf numFmtId="167" fontId="6" fillId="0" borderId="39" xfId="7" applyNumberFormat="1" applyBorder="1" applyAlignment="1">
      <alignment horizontal="center"/>
    </xf>
    <xf numFmtId="167" fontId="27" fillId="0" borderId="29" xfId="1" applyNumberFormat="1" applyFont="1" applyBorder="1" applyAlignment="1">
      <alignment horizontal="center"/>
    </xf>
    <xf numFmtId="167" fontId="27" fillId="0" borderId="40" xfId="1" applyNumberFormat="1" applyFont="1" applyBorder="1" applyAlignment="1">
      <alignment horizontal="center"/>
    </xf>
    <xf numFmtId="167" fontId="26" fillId="5" borderId="20" xfId="1" applyNumberFormat="1" applyFont="1" applyFill="1" applyBorder="1" applyAlignment="1">
      <alignment horizontal="center"/>
    </xf>
    <xf numFmtId="167" fontId="27" fillId="0" borderId="14" xfId="1" applyNumberFormat="1" applyFont="1" applyBorder="1" applyAlignment="1">
      <alignment horizontal="center"/>
    </xf>
    <xf numFmtId="167" fontId="27" fillId="0" borderId="39" xfId="1" applyNumberFormat="1" applyFont="1" applyBorder="1" applyAlignment="1">
      <alignment horizontal="center"/>
    </xf>
    <xf numFmtId="167" fontId="27" fillId="0" borderId="53" xfId="1" applyNumberFormat="1" applyFont="1" applyBorder="1" applyAlignment="1">
      <alignment horizontal="center"/>
    </xf>
    <xf numFmtId="167" fontId="26" fillId="0" borderId="20" xfId="1" applyNumberFormat="1" applyFont="1" applyBorder="1" applyAlignment="1">
      <alignment horizontal="center"/>
    </xf>
    <xf numFmtId="165" fontId="16" fillId="4" borderId="52" xfId="1" applyNumberFormat="1" applyFont="1" applyFill="1" applyBorder="1" applyAlignment="1">
      <alignment horizontal="left" vertical="center"/>
    </xf>
    <xf numFmtId="165" fontId="16" fillId="4" borderId="63" xfId="1" applyNumberFormat="1" applyFont="1" applyFill="1" applyBorder="1" applyAlignment="1">
      <alignment horizontal="left" vertical="center"/>
    </xf>
    <xf numFmtId="165" fontId="16" fillId="4" borderId="18" xfId="1" applyNumberFormat="1" applyFont="1" applyFill="1" applyBorder="1" applyAlignment="1">
      <alignment horizontal="left" vertical="center"/>
    </xf>
    <xf numFmtId="165" fontId="21" fillId="0" borderId="17" xfId="1" applyNumberFormat="1" applyFont="1" applyBorder="1" applyAlignment="1">
      <alignment vertical="center"/>
    </xf>
    <xf numFmtId="165" fontId="21" fillId="0" borderId="21" xfId="1" applyNumberFormat="1" applyFont="1" applyBorder="1" applyAlignment="1">
      <alignment vertical="center"/>
    </xf>
    <xf numFmtId="165" fontId="21" fillId="0" borderId="19" xfId="1" applyNumberFormat="1" applyFont="1" applyBorder="1" applyAlignment="1">
      <alignment vertical="center"/>
    </xf>
    <xf numFmtId="165" fontId="23" fillId="0" borderId="20" xfId="1" applyNumberFormat="1" applyFont="1" applyBorder="1"/>
    <xf numFmtId="10" fontId="14" fillId="3" borderId="21" xfId="3" applyNumberFormat="1" applyFont="1" applyFill="1" applyBorder="1" applyAlignment="1">
      <alignment horizontal="center" vertical="top" wrapText="1"/>
    </xf>
    <xf numFmtId="10" fontId="14" fillId="0" borderId="19" xfId="3" applyNumberFormat="1" applyFont="1" applyBorder="1" applyAlignment="1">
      <alignment horizontal="center" vertical="top" wrapText="1"/>
    </xf>
    <xf numFmtId="10" fontId="14" fillId="3" borderId="19" xfId="3" applyNumberFormat="1" applyFont="1" applyFill="1" applyBorder="1" applyAlignment="1">
      <alignment horizontal="center" vertical="top" wrapText="1"/>
    </xf>
    <xf numFmtId="10" fontId="14" fillId="0" borderId="21" xfId="3" applyNumberFormat="1" applyFont="1" applyBorder="1" applyAlignment="1">
      <alignment horizontal="center" vertical="top" wrapText="1"/>
    </xf>
    <xf numFmtId="10" fontId="14" fillId="2" borderId="19" xfId="3" applyNumberFormat="1" applyFont="1" applyFill="1" applyBorder="1" applyAlignment="1">
      <alignment horizontal="center" vertical="top" wrapText="1"/>
    </xf>
    <xf numFmtId="10" fontId="15" fillId="2" borderId="19" xfId="3" applyNumberFormat="1" applyFont="1" applyFill="1" applyBorder="1" applyAlignment="1">
      <alignment horizontal="center" vertical="top" wrapText="1"/>
    </xf>
    <xf numFmtId="10" fontId="15" fillId="0" borderId="19" xfId="3" applyNumberFormat="1" applyFont="1" applyBorder="1" applyAlignment="1">
      <alignment horizontal="center" vertical="top" wrapText="1"/>
    </xf>
    <xf numFmtId="0" fontId="16" fillId="0" borderId="0" xfId="0" applyFont="1" applyProtection="1">
      <protection locked="0"/>
    </xf>
    <xf numFmtId="0" fontId="17" fillId="0" borderId="0" xfId="0" applyFont="1" applyAlignment="1" applyProtection="1">
      <alignment horizontal="center"/>
      <protection locked="0"/>
    </xf>
    <xf numFmtId="0" fontId="17" fillId="0" borderId="0" xfId="0" applyFont="1" applyProtection="1">
      <protection locked="0"/>
    </xf>
    <xf numFmtId="10" fontId="17" fillId="0" borderId="0" xfId="0" applyNumberFormat="1" applyFont="1" applyProtection="1">
      <protection locked="0"/>
    </xf>
    <xf numFmtId="3" fontId="17" fillId="0" borderId="0" xfId="0" applyNumberFormat="1" applyFont="1" applyProtection="1">
      <protection locked="0"/>
    </xf>
    <xf numFmtId="10" fontId="17" fillId="0" borderId="0" xfId="3" applyNumberFormat="1" applyFont="1" applyAlignment="1" applyProtection="1">
      <alignment horizontal="left"/>
      <protection locked="0"/>
    </xf>
    <xf numFmtId="167" fontId="17" fillId="0" borderId="0" xfId="1" applyNumberFormat="1" applyFont="1" applyProtection="1">
      <protection locked="0"/>
    </xf>
    <xf numFmtId="165" fontId="17" fillId="0" borderId="0" xfId="0" applyNumberFormat="1" applyFont="1" applyProtection="1">
      <protection locked="0"/>
    </xf>
    <xf numFmtId="44" fontId="17" fillId="0" borderId="0" xfId="0" applyNumberFormat="1" applyFont="1" applyProtection="1">
      <protection locked="0"/>
    </xf>
    <xf numFmtId="2" fontId="17" fillId="0" borderId="0" xfId="0" applyNumberFormat="1" applyFont="1" applyProtection="1">
      <protection locked="0"/>
    </xf>
    <xf numFmtId="0" fontId="8" fillId="0" borderId="0" xfId="2" quotePrefix="1" applyFont="1"/>
    <xf numFmtId="0" fontId="39" fillId="0" borderId="0" xfId="2" quotePrefix="1" applyFont="1"/>
    <xf numFmtId="0" fontId="30" fillId="0" borderId="0" xfId="0" applyFont="1" applyProtection="1">
      <protection locked="0"/>
    </xf>
    <xf numFmtId="0" fontId="30" fillId="0" borderId="0" xfId="0" applyFont="1" applyAlignment="1" applyProtection="1">
      <alignment horizontal="left" indent="1"/>
      <protection locked="0"/>
    </xf>
    <xf numFmtId="0" fontId="30" fillId="0" borderId="0" xfId="2" applyFont="1" applyAlignment="1">
      <alignment horizontal="left" indent="1"/>
    </xf>
    <xf numFmtId="0" fontId="30" fillId="0" borderId="0" xfId="2" applyFont="1" applyAlignment="1">
      <alignment horizontal="left"/>
    </xf>
    <xf numFmtId="0" fontId="30" fillId="4" borderId="33" xfId="0" quotePrefix="1" applyFont="1" applyFill="1" applyBorder="1" applyProtection="1">
      <protection locked="0"/>
    </xf>
    <xf numFmtId="0" fontId="30" fillId="0" borderId="0" xfId="2" applyFont="1"/>
    <xf numFmtId="0" fontId="30" fillId="0" borderId="24" xfId="2" applyFont="1" applyBorder="1" applyAlignment="1">
      <alignment horizontal="center"/>
    </xf>
    <xf numFmtId="0" fontId="30" fillId="0" borderId="22" xfId="2" applyFont="1" applyBorder="1" applyAlignment="1">
      <alignment horizontal="center"/>
    </xf>
    <xf numFmtId="0" fontId="30" fillId="4" borderId="34" xfId="2" applyFont="1" applyFill="1" applyBorder="1" applyAlignment="1">
      <alignment horizontal="left"/>
    </xf>
    <xf numFmtId="44" fontId="30" fillId="0" borderId="22" xfId="1" applyFont="1" applyBorder="1" applyAlignment="1">
      <alignment horizontal="center"/>
    </xf>
    <xf numFmtId="0" fontId="30" fillId="0" borderId="0" xfId="3" applyNumberFormat="1" applyFont="1" applyAlignment="1">
      <alignment horizontal="center"/>
    </xf>
    <xf numFmtId="0" fontId="17" fillId="4" borderId="34" xfId="0" applyFont="1" applyFill="1" applyBorder="1" applyAlignment="1" applyProtection="1">
      <alignment horizontal="center"/>
      <protection locked="0"/>
    </xf>
    <xf numFmtId="0" fontId="17" fillId="4" borderId="34" xfId="0" applyFont="1" applyFill="1" applyBorder="1" applyProtection="1">
      <protection locked="0"/>
    </xf>
    <xf numFmtId="44" fontId="17" fillId="4" borderId="21" xfId="0" applyNumberFormat="1" applyFont="1" applyFill="1" applyBorder="1" applyProtection="1">
      <protection locked="0"/>
    </xf>
    <xf numFmtId="165" fontId="22" fillId="0" borderId="0" xfId="0" applyNumberFormat="1" applyFont="1" applyProtection="1">
      <protection locked="0"/>
    </xf>
    <xf numFmtId="44" fontId="22" fillId="0" borderId="0" xfId="0" applyNumberFormat="1" applyFont="1" applyProtection="1">
      <protection locked="0"/>
    </xf>
    <xf numFmtId="0" fontId="30" fillId="0" borderId="0" xfId="0" applyFont="1" applyAlignment="1">
      <alignment vertical="center"/>
    </xf>
    <xf numFmtId="0" fontId="49" fillId="4" borderId="20" xfId="0" applyFont="1" applyFill="1" applyBorder="1" applyProtection="1">
      <protection locked="0"/>
    </xf>
    <xf numFmtId="165" fontId="17" fillId="4" borderId="21" xfId="0" applyNumberFormat="1" applyFont="1" applyFill="1" applyBorder="1" applyProtection="1">
      <protection locked="0"/>
    </xf>
    <xf numFmtId="165" fontId="17" fillId="0" borderId="20" xfId="0" applyNumberFormat="1" applyFont="1" applyBorder="1" applyProtection="1">
      <protection locked="0"/>
    </xf>
    <xf numFmtId="0" fontId="30" fillId="0" borderId="22" xfId="2" applyFont="1" applyBorder="1" applyAlignment="1">
      <alignment horizontal="left"/>
    </xf>
    <xf numFmtId="44" fontId="30" fillId="0" borderId="0" xfId="1" applyFont="1" applyBorder="1" applyAlignment="1">
      <alignment vertical="center"/>
    </xf>
    <xf numFmtId="44" fontId="30" fillId="0" borderId="0" xfId="0" applyNumberFormat="1" applyFont="1"/>
    <xf numFmtId="44" fontId="30" fillId="0" borderId="0" xfId="2" applyNumberFormat="1" applyFont="1"/>
    <xf numFmtId="165" fontId="51" fillId="0" borderId="0" xfId="1" applyNumberFormat="1" applyFont="1" applyFill="1" applyBorder="1" applyAlignment="1">
      <alignment vertical="center"/>
    </xf>
    <xf numFmtId="0" fontId="30" fillId="0" borderId="64" xfId="0" applyFont="1" applyBorder="1" applyAlignment="1">
      <alignment horizontal="left" indent="1"/>
    </xf>
    <xf numFmtId="0" fontId="17" fillId="0" borderId="64" xfId="0" applyFont="1" applyBorder="1" applyProtection="1">
      <protection locked="0"/>
    </xf>
    <xf numFmtId="165" fontId="30" fillId="0" borderId="64" xfId="1" applyNumberFormat="1" applyFont="1" applyFill="1" applyBorder="1" applyAlignment="1">
      <alignment vertical="center"/>
    </xf>
    <xf numFmtId="0" fontId="30" fillId="0" borderId="65" xfId="0" applyFont="1" applyBorder="1" applyAlignment="1">
      <alignment horizontal="left" vertical="center" wrapText="1" indent="2"/>
    </xf>
    <xf numFmtId="44" fontId="30" fillId="6" borderId="65" xfId="1" applyFont="1" applyFill="1" applyBorder="1" applyAlignment="1">
      <alignment vertical="center"/>
    </xf>
    <xf numFmtId="0" fontId="30" fillId="0" borderId="65" xfId="0" applyFont="1" applyBorder="1" applyAlignment="1">
      <alignment horizontal="left" vertical="center" indent="2"/>
    </xf>
    <xf numFmtId="44" fontId="30" fillId="0" borderId="65" xfId="1" applyFont="1" applyBorder="1" applyAlignment="1">
      <alignment vertical="center"/>
    </xf>
    <xf numFmtId="44" fontId="30" fillId="0" borderId="65" xfId="0" applyNumberFormat="1" applyFont="1" applyBorder="1"/>
    <xf numFmtId="0" fontId="30" fillId="0" borderId="65" xfId="2" applyFont="1" applyBorder="1" applyAlignment="1">
      <alignment horizontal="left" vertical="center" indent="2"/>
    </xf>
    <xf numFmtId="44" fontId="30" fillId="0" borderId="65" xfId="2" applyNumberFormat="1" applyFont="1" applyBorder="1"/>
    <xf numFmtId="0" fontId="30" fillId="0" borderId="64" xfId="0" applyFont="1" applyBorder="1" applyAlignment="1" applyProtection="1">
      <alignment horizontal="left" indent="1"/>
      <protection locked="0"/>
    </xf>
    <xf numFmtId="0" fontId="30" fillId="0" borderId="64" xfId="2" applyFont="1" applyBorder="1" applyAlignment="1">
      <alignment horizontal="left"/>
    </xf>
    <xf numFmtId="10" fontId="17" fillId="0" borderId="64" xfId="0" applyNumberFormat="1" applyFont="1" applyBorder="1" applyAlignment="1" applyProtection="1">
      <alignment horizontal="center"/>
      <protection locked="0"/>
    </xf>
    <xf numFmtId="0" fontId="30" fillId="0" borderId="65" xfId="2" applyFont="1" applyBorder="1" applyAlignment="1">
      <alignment horizontal="left"/>
    </xf>
    <xf numFmtId="0" fontId="30" fillId="0" borderId="67" xfId="0" applyFont="1" applyBorder="1" applyAlignment="1" applyProtection="1">
      <alignment horizontal="left" indent="1"/>
      <protection locked="0"/>
    </xf>
    <xf numFmtId="0" fontId="30" fillId="0" borderId="67" xfId="2" applyFont="1" applyBorder="1" applyAlignment="1">
      <alignment horizontal="left"/>
    </xf>
    <xf numFmtId="0" fontId="17" fillId="0" borderId="67" xfId="0" applyFont="1" applyBorder="1" applyAlignment="1" applyProtection="1">
      <alignment horizontal="center"/>
      <protection locked="0"/>
    </xf>
    <xf numFmtId="0" fontId="17" fillId="0" borderId="67" xfId="0" applyFont="1" applyBorder="1" applyProtection="1">
      <protection locked="0"/>
    </xf>
    <xf numFmtId="44" fontId="17" fillId="0" borderId="67" xfId="0" applyNumberFormat="1" applyFont="1" applyBorder="1" applyProtection="1">
      <protection locked="0"/>
    </xf>
    <xf numFmtId="0" fontId="17" fillId="0" borderId="64" xfId="0" applyFont="1" applyBorder="1" applyAlignment="1" applyProtection="1">
      <alignment horizontal="center"/>
      <protection locked="0"/>
    </xf>
    <xf numFmtId="0" fontId="30" fillId="0" borderId="67" xfId="0" applyFont="1" applyBorder="1" applyAlignment="1">
      <alignment horizontal="left" indent="1"/>
    </xf>
    <xf numFmtId="165" fontId="30" fillId="0" borderId="67" xfId="1" applyNumberFormat="1" applyFont="1" applyFill="1" applyBorder="1" applyAlignment="1">
      <alignment vertical="center"/>
    </xf>
    <xf numFmtId="0" fontId="30" fillId="0" borderId="68" xfId="2" applyFont="1" applyBorder="1" applyAlignment="1">
      <alignment horizontal="left" vertical="center" indent="2"/>
    </xf>
    <xf numFmtId="44" fontId="30" fillId="0" borderId="68" xfId="2" applyNumberFormat="1" applyFont="1" applyBorder="1"/>
    <xf numFmtId="44" fontId="30" fillId="0" borderId="1" xfId="1" applyFont="1" applyBorder="1" applyAlignment="1">
      <alignment vertical="center"/>
    </xf>
    <xf numFmtId="44" fontId="30" fillId="0" borderId="1" xfId="0" applyNumberFormat="1" applyFont="1" applyBorder="1"/>
    <xf numFmtId="44" fontId="30" fillId="0" borderId="1" xfId="2" applyNumberFormat="1" applyFont="1" applyBorder="1"/>
    <xf numFmtId="165" fontId="51" fillId="0" borderId="1" xfId="1" applyNumberFormat="1" applyFont="1" applyFill="1" applyBorder="1" applyAlignment="1">
      <alignment vertical="center"/>
    </xf>
    <xf numFmtId="0" fontId="30" fillId="0" borderId="64" xfId="3" applyNumberFormat="1" applyFont="1" applyBorder="1" applyAlignment="1">
      <alignment horizontal="center"/>
    </xf>
    <xf numFmtId="10" fontId="51" fillId="0" borderId="64" xfId="3" applyNumberFormat="1" applyFont="1" applyBorder="1"/>
    <xf numFmtId="165" fontId="17" fillId="0" borderId="64" xfId="0" applyNumberFormat="1" applyFont="1" applyBorder="1" applyProtection="1">
      <protection locked="0"/>
    </xf>
    <xf numFmtId="0" fontId="30" fillId="0" borderId="65" xfId="2" applyFont="1" applyBorder="1" applyAlignment="1">
      <alignment horizontal="left" indent="1"/>
    </xf>
    <xf numFmtId="0" fontId="30" fillId="0" borderId="65" xfId="0" applyFont="1" applyBorder="1" applyAlignment="1" applyProtection="1">
      <alignment horizontal="left" indent="2"/>
      <protection locked="0"/>
    </xf>
    <xf numFmtId="0" fontId="30" fillId="0" borderId="65" xfId="3" applyNumberFormat="1" applyFont="1" applyBorder="1" applyAlignment="1">
      <alignment horizontal="center"/>
    </xf>
    <xf numFmtId="10" fontId="51" fillId="0" borderId="65" xfId="3" applyNumberFormat="1" applyFont="1" applyBorder="1"/>
    <xf numFmtId="165" fontId="17" fillId="0" borderId="67" xfId="0" applyNumberFormat="1" applyFont="1" applyBorder="1" applyProtection="1">
      <protection locked="0"/>
    </xf>
    <xf numFmtId="0" fontId="30" fillId="0" borderId="65" xfId="0" applyFont="1" applyBorder="1" applyAlignment="1" applyProtection="1">
      <alignment horizontal="left" indent="1"/>
      <protection locked="0"/>
    </xf>
    <xf numFmtId="0" fontId="17" fillId="0" borderId="65" xfId="0" applyFont="1" applyBorder="1" applyProtection="1">
      <protection locked="0"/>
    </xf>
    <xf numFmtId="165" fontId="30" fillId="0" borderId="0" xfId="1" applyNumberFormat="1" applyFont="1" applyProtection="1">
      <protection locked="0"/>
    </xf>
    <xf numFmtId="44" fontId="30" fillId="0" borderId="0" xfId="1" applyFont="1" applyProtection="1">
      <protection locked="0"/>
    </xf>
    <xf numFmtId="0" fontId="57" fillId="0" borderId="33" xfId="0" applyFont="1" applyBorder="1" applyAlignment="1" applyProtection="1">
      <alignment vertical="center"/>
      <protection locked="0"/>
    </xf>
    <xf numFmtId="165" fontId="57" fillId="0" borderId="34" xfId="1" applyNumberFormat="1" applyFont="1" applyBorder="1" applyAlignment="1" applyProtection="1">
      <alignment vertical="center"/>
      <protection locked="0"/>
    </xf>
    <xf numFmtId="0" fontId="30" fillId="0" borderId="65" xfId="2" applyFont="1" applyBorder="1"/>
    <xf numFmtId="165" fontId="39" fillId="0" borderId="15" xfId="1" applyNumberFormat="1" applyFont="1" applyBorder="1" applyAlignment="1" applyProtection="1">
      <alignment horizontal="center"/>
      <protection locked="0"/>
    </xf>
    <xf numFmtId="44" fontId="39" fillId="0" borderId="15" xfId="1" applyFont="1" applyBorder="1" applyAlignment="1" applyProtection="1">
      <alignment horizontal="center"/>
      <protection locked="0"/>
    </xf>
    <xf numFmtId="0" fontId="39" fillId="0" borderId="15" xfId="0" applyFont="1" applyBorder="1" applyAlignment="1" applyProtection="1">
      <alignment horizontal="center"/>
      <protection locked="0"/>
    </xf>
    <xf numFmtId="44" fontId="30" fillId="0" borderId="66" xfId="1" applyFont="1" applyBorder="1" applyProtection="1">
      <protection locked="0"/>
    </xf>
    <xf numFmtId="44" fontId="30" fillId="0" borderId="71" xfId="1" applyFont="1" applyBorder="1" applyProtection="1">
      <protection locked="0"/>
    </xf>
    <xf numFmtId="165" fontId="30" fillId="0" borderId="72" xfId="1" applyNumberFormat="1" applyFont="1" applyBorder="1" applyProtection="1">
      <protection locked="0"/>
    </xf>
    <xf numFmtId="44" fontId="30" fillId="0" borderId="73" xfId="0" applyNumberFormat="1" applyFont="1" applyBorder="1" applyProtection="1">
      <protection locked="0"/>
    </xf>
    <xf numFmtId="165" fontId="30" fillId="0" borderId="70" xfId="1" applyNumberFormat="1" applyFont="1" applyBorder="1" applyProtection="1">
      <protection locked="0"/>
    </xf>
    <xf numFmtId="44" fontId="30" fillId="0" borderId="74" xfId="0" applyNumberFormat="1" applyFont="1" applyBorder="1" applyProtection="1">
      <protection locked="0"/>
    </xf>
    <xf numFmtId="165" fontId="30" fillId="0" borderId="75" xfId="1" applyNumberFormat="1" applyFont="1" applyBorder="1" applyProtection="1">
      <protection locked="0"/>
    </xf>
    <xf numFmtId="44" fontId="30" fillId="0" borderId="76" xfId="0" applyNumberFormat="1" applyFont="1" applyBorder="1" applyProtection="1">
      <protection locked="0"/>
    </xf>
    <xf numFmtId="44" fontId="30" fillId="5" borderId="71" xfId="1" applyFont="1" applyFill="1" applyBorder="1" applyProtection="1">
      <protection locked="0"/>
    </xf>
    <xf numFmtId="165" fontId="30" fillId="0" borderId="77" xfId="1" applyNumberFormat="1" applyFont="1" applyBorder="1" applyProtection="1">
      <protection locked="0"/>
    </xf>
    <xf numFmtId="44" fontId="30" fillId="0" borderId="78" xfId="1" applyFont="1" applyBorder="1" applyProtection="1">
      <protection locked="0"/>
    </xf>
    <xf numFmtId="44" fontId="30" fillId="0" borderId="79" xfId="0" applyNumberFormat="1" applyFont="1" applyBorder="1" applyProtection="1">
      <protection locked="0"/>
    </xf>
    <xf numFmtId="0" fontId="30" fillId="0" borderId="67" xfId="2" applyFont="1" applyBorder="1" applyAlignment="1">
      <alignment horizontal="left" indent="1"/>
    </xf>
    <xf numFmtId="44" fontId="30" fillId="0" borderId="78" xfId="1" applyFont="1" applyFill="1" applyBorder="1" applyProtection="1">
      <protection locked="0"/>
    </xf>
    <xf numFmtId="4" fontId="54" fillId="0" borderId="23" xfId="0" applyNumberFormat="1" applyFont="1" applyBorder="1" applyProtection="1">
      <protection locked="0"/>
    </xf>
    <xf numFmtId="4" fontId="55" fillId="0" borderId="17" xfId="0" applyNumberFormat="1" applyFont="1" applyBorder="1" applyProtection="1">
      <protection locked="0"/>
    </xf>
    <xf numFmtId="0" fontId="56" fillId="0" borderId="19" xfId="0" applyFont="1" applyBorder="1" applyAlignment="1" applyProtection="1">
      <alignment horizontal="center"/>
      <protection locked="0"/>
    </xf>
    <xf numFmtId="44" fontId="30" fillId="6" borderId="66" xfId="1" applyFont="1" applyFill="1" applyBorder="1" applyProtection="1">
      <protection locked="0"/>
    </xf>
    <xf numFmtId="44" fontId="30" fillId="6" borderId="69" xfId="1" applyFont="1" applyFill="1" applyBorder="1" applyProtection="1">
      <protection locked="0"/>
    </xf>
    <xf numFmtId="44" fontId="30" fillId="6" borderId="71" xfId="1" applyFont="1" applyFill="1" applyBorder="1" applyProtection="1">
      <protection locked="0"/>
    </xf>
    <xf numFmtId="44" fontId="30" fillId="6" borderId="78" xfId="1" applyFont="1" applyFill="1" applyBorder="1" applyProtection="1">
      <protection locked="0"/>
    </xf>
    <xf numFmtId="0" fontId="30" fillId="0" borderId="22" xfId="0" applyFont="1" applyBorder="1" applyAlignment="1" applyProtection="1">
      <alignment horizontal="left" indent="1"/>
      <protection locked="0"/>
    </xf>
    <xf numFmtId="0" fontId="17" fillId="0" borderId="22" xfId="0" applyFont="1" applyBorder="1" applyAlignment="1" applyProtection="1">
      <alignment horizontal="center"/>
      <protection locked="0"/>
    </xf>
    <xf numFmtId="0" fontId="17" fillId="0" borderId="22" xfId="0" applyFont="1" applyBorder="1" applyProtection="1">
      <protection locked="0"/>
    </xf>
    <xf numFmtId="165" fontId="17" fillId="4" borderId="34" xfId="0" applyNumberFormat="1" applyFont="1" applyFill="1" applyBorder="1" applyProtection="1">
      <protection locked="0"/>
    </xf>
    <xf numFmtId="165" fontId="17" fillId="0" borderId="22" xfId="0" applyNumberFormat="1" applyFont="1" applyBorder="1" applyProtection="1">
      <protection locked="0"/>
    </xf>
    <xf numFmtId="49" fontId="7" fillId="0" borderId="0" xfId="0" applyNumberFormat="1" applyFont="1" applyAlignment="1">
      <alignment vertical="top"/>
    </xf>
    <xf numFmtId="49" fontId="7" fillId="0" borderId="0" xfId="0" applyNumberFormat="1" applyFont="1" applyAlignment="1">
      <alignment vertical="top" wrapText="1"/>
    </xf>
    <xf numFmtId="0" fontId="7" fillId="0" borderId="0" xfId="0" applyFont="1" applyAlignment="1">
      <alignment horizontal="right"/>
    </xf>
    <xf numFmtId="0" fontId="7" fillId="5" borderId="0" xfId="0" applyFont="1" applyFill="1" applyAlignment="1">
      <alignment horizontal="left" indent="1"/>
    </xf>
    <xf numFmtId="0" fontId="7" fillId="5" borderId="0" xfId="0" applyFont="1" applyFill="1"/>
    <xf numFmtId="0" fontId="58" fillId="0" borderId="0" xfId="0" applyFont="1"/>
    <xf numFmtId="0" fontId="58" fillId="8" borderId="0" xfId="0" applyFont="1" applyFill="1" applyAlignment="1">
      <alignment horizontal="left" indent="1"/>
    </xf>
    <xf numFmtId="0" fontId="58" fillId="8" borderId="0" xfId="0" applyFont="1" applyFill="1"/>
    <xf numFmtId="0" fontId="58" fillId="9" borderId="0" xfId="0" applyFont="1" applyFill="1" applyAlignment="1">
      <alignment horizontal="left" indent="1"/>
    </xf>
    <xf numFmtId="0" fontId="58" fillId="9" borderId="0" xfId="0" applyFont="1" applyFill="1"/>
    <xf numFmtId="0" fontId="58" fillId="7" borderId="0" xfId="0" applyFont="1" applyFill="1" applyAlignment="1">
      <alignment horizontal="left" indent="1"/>
    </xf>
    <xf numFmtId="0" fontId="7" fillId="7" borderId="0" xfId="0" applyFont="1" applyFill="1"/>
    <xf numFmtId="5" fontId="7" fillId="0" borderId="0" xfId="0" applyNumberFormat="1" applyFont="1" applyAlignment="1">
      <alignment horizontal="right"/>
    </xf>
    <xf numFmtId="10" fontId="7" fillId="0" borderId="0" xfId="0" applyNumberFormat="1" applyFont="1"/>
    <xf numFmtId="0" fontId="30" fillId="0" borderId="0" xfId="5" applyFont="1"/>
    <xf numFmtId="0" fontId="30" fillId="0" borderId="0" xfId="5" applyFont="1" applyAlignment="1">
      <alignment horizontal="left"/>
    </xf>
    <xf numFmtId="0" fontId="30" fillId="0" borderId="0" xfId="5" applyFont="1" applyAlignment="1">
      <alignment horizontal="center"/>
    </xf>
    <xf numFmtId="5" fontId="30" fillId="0" borderId="0" xfId="5" applyNumberFormat="1" applyFont="1"/>
    <xf numFmtId="3" fontId="30" fillId="5" borderId="14" xfId="0" applyNumberFormat="1" applyFont="1" applyFill="1" applyBorder="1" applyAlignment="1">
      <alignment horizontal="center"/>
    </xf>
    <xf numFmtId="44" fontId="30" fillId="0" borderId="0" xfId="1" applyFont="1" applyBorder="1"/>
    <xf numFmtId="0" fontId="30" fillId="0" borderId="33" xfId="5" applyFont="1" applyBorder="1" applyAlignment="1">
      <alignment horizontal="left"/>
    </xf>
    <xf numFmtId="0" fontId="30" fillId="5" borderId="20" xfId="0" applyFont="1" applyFill="1" applyBorder="1" applyAlignment="1">
      <alignment vertical="center"/>
    </xf>
    <xf numFmtId="0" fontId="30" fillId="0" borderId="20" xfId="5" applyFont="1" applyBorder="1" applyAlignment="1">
      <alignment horizontal="left"/>
    </xf>
    <xf numFmtId="44" fontId="30" fillId="0" borderId="20" xfId="1" applyFont="1" applyBorder="1" applyAlignment="1">
      <alignment vertical="center"/>
    </xf>
    <xf numFmtId="0" fontId="30" fillId="0" borderId="80" xfId="0" applyFont="1" applyBorder="1" applyAlignment="1">
      <alignment horizontal="left" indent="1"/>
    </xf>
    <xf numFmtId="0" fontId="30" fillId="0" borderId="81" xfId="0" applyFont="1" applyBorder="1"/>
    <xf numFmtId="0" fontId="60" fillId="0" borderId="81" xfId="0" applyFont="1" applyBorder="1"/>
    <xf numFmtId="164" fontId="30" fillId="0" borderId="82" xfId="3" applyNumberFormat="1" applyFont="1" applyBorder="1" applyAlignment="1">
      <alignment horizontal="center"/>
    </xf>
    <xf numFmtId="0" fontId="30" fillId="0" borderId="84" xfId="0" applyFont="1" applyBorder="1" applyAlignment="1">
      <alignment horizontal="left" indent="1"/>
    </xf>
    <xf numFmtId="0" fontId="30" fillId="0" borderId="85" xfId="0" applyFont="1" applyBorder="1"/>
    <xf numFmtId="164" fontId="30" fillId="0" borderId="82" xfId="3" applyNumberFormat="1" applyFont="1" applyFill="1" applyBorder="1" applyAlignment="1">
      <alignment horizontal="center"/>
    </xf>
    <xf numFmtId="44" fontId="30" fillId="0" borderId="86" xfId="1" applyFont="1" applyBorder="1" applyAlignment="1">
      <alignment vertical="center"/>
    </xf>
    <xf numFmtId="165" fontId="61" fillId="15" borderId="16" xfId="1" applyNumberFormat="1" applyFont="1" applyFill="1" applyBorder="1" applyAlignment="1"/>
    <xf numFmtId="0" fontId="30" fillId="0" borderId="87" xfId="0" applyFont="1" applyBorder="1" applyAlignment="1">
      <alignment horizontal="left" indent="1"/>
    </xf>
    <xf numFmtId="44" fontId="30" fillId="5" borderId="86" xfId="1" applyFont="1" applyFill="1" applyBorder="1" applyAlignment="1">
      <alignment vertical="center"/>
    </xf>
    <xf numFmtId="0" fontId="30" fillId="0" borderId="88" xfId="0" applyFont="1" applyBorder="1" applyAlignment="1">
      <alignment horizontal="left" indent="1"/>
    </xf>
    <xf numFmtId="0" fontId="30" fillId="0" borderId="89" xfId="0" applyFont="1" applyBorder="1"/>
    <xf numFmtId="164" fontId="30" fillId="0" borderId="0" xfId="3" applyNumberFormat="1" applyFont="1" applyBorder="1" applyAlignment="1">
      <alignment horizontal="center"/>
    </xf>
    <xf numFmtId="44" fontId="30" fillId="5" borderId="90" xfId="1" applyFont="1" applyFill="1" applyBorder="1" applyAlignment="1">
      <alignment vertical="center"/>
    </xf>
    <xf numFmtId="0" fontId="30" fillId="0" borderId="82" xfId="0" applyFont="1" applyBorder="1"/>
    <xf numFmtId="44" fontId="30" fillId="5" borderId="91" xfId="1" applyFont="1" applyFill="1" applyBorder="1" applyAlignment="1">
      <alignment vertical="center"/>
    </xf>
    <xf numFmtId="0" fontId="30" fillId="0" borderId="31" xfId="0" applyFont="1" applyBorder="1" applyAlignment="1" applyProtection="1">
      <alignment horizontal="left" indent="1"/>
      <protection locked="0"/>
    </xf>
    <xf numFmtId="3" fontId="30" fillId="5" borderId="0" xfId="0" applyNumberFormat="1" applyFont="1" applyFill="1" applyAlignment="1" applyProtection="1">
      <alignment horizontal="center"/>
      <protection locked="0"/>
    </xf>
    <xf numFmtId="0" fontId="30" fillId="5" borderId="0" xfId="0" applyFont="1" applyFill="1" applyAlignment="1" applyProtection="1">
      <alignment horizontal="center"/>
      <protection locked="0"/>
    </xf>
    <xf numFmtId="44" fontId="30" fillId="5" borderId="92" xfId="1" applyFont="1" applyFill="1" applyBorder="1" applyAlignment="1" applyProtection="1">
      <alignment horizontal="center"/>
      <protection locked="0"/>
    </xf>
    <xf numFmtId="165" fontId="30" fillId="0" borderId="20" xfId="1" applyNumberFormat="1" applyFont="1" applyBorder="1" applyAlignment="1">
      <alignment vertical="center"/>
    </xf>
    <xf numFmtId="0" fontId="30" fillId="0" borderId="84" xfId="0" applyFont="1" applyBorder="1" applyAlignment="1">
      <alignment horizontal="left" indent="2"/>
    </xf>
    <xf numFmtId="0" fontId="30" fillId="0" borderId="82" xfId="0" applyFont="1" applyBorder="1" applyAlignment="1">
      <alignment horizontal="center"/>
    </xf>
    <xf numFmtId="10" fontId="30" fillId="5" borderId="82" xfId="3" applyNumberFormat="1" applyFont="1" applyFill="1" applyBorder="1" applyAlignment="1">
      <alignment horizontal="center"/>
    </xf>
    <xf numFmtId="165" fontId="30" fillId="5" borderId="91" xfId="1" applyNumberFormat="1" applyFont="1" applyFill="1" applyBorder="1"/>
    <xf numFmtId="10" fontId="30" fillId="0" borderId="82" xfId="3" applyNumberFormat="1" applyFont="1" applyFill="1" applyBorder="1" applyAlignment="1">
      <alignment horizontal="center"/>
    </xf>
    <xf numFmtId="0" fontId="30" fillId="0" borderId="31" xfId="0" applyFont="1" applyBorder="1" applyAlignment="1">
      <alignment horizontal="left" indent="2"/>
    </xf>
    <xf numFmtId="0" fontId="30" fillId="0" borderId="0" xfId="0" applyFont="1" applyAlignment="1">
      <alignment horizontal="center"/>
    </xf>
    <xf numFmtId="10" fontId="30" fillId="5" borderId="0" xfId="3" applyNumberFormat="1" applyFont="1" applyFill="1" applyBorder="1" applyAlignment="1">
      <alignment horizontal="center"/>
    </xf>
    <xf numFmtId="165" fontId="30" fillId="5" borderId="17" xfId="1" applyNumberFormat="1" applyFont="1" applyFill="1" applyBorder="1"/>
    <xf numFmtId="9" fontId="30" fillId="5" borderId="30" xfId="0" applyNumberFormat="1" applyFont="1" applyFill="1" applyBorder="1" applyAlignment="1">
      <alignment horizontal="center"/>
    </xf>
    <xf numFmtId="165" fontId="30" fillId="5" borderId="23" xfId="5" applyNumberFormat="1" applyFont="1" applyFill="1" applyBorder="1"/>
    <xf numFmtId="0" fontId="30" fillId="0" borderId="23" xfId="0" applyFont="1" applyBorder="1" applyAlignment="1">
      <alignment horizontal="center" vertical="center"/>
    </xf>
    <xf numFmtId="165" fontId="30" fillId="0" borderId="20" xfId="1" applyNumberFormat="1" applyFont="1" applyFill="1" applyBorder="1" applyAlignment="1">
      <alignment vertical="center"/>
    </xf>
    <xf numFmtId="0" fontId="30" fillId="0" borderId="31" xfId="0" applyFont="1" applyBorder="1"/>
    <xf numFmtId="165" fontId="30" fillId="0" borderId="17" xfId="1" applyNumberFormat="1" applyFont="1" applyBorder="1"/>
    <xf numFmtId="165" fontId="30" fillId="0" borderId="21" xfId="5" applyNumberFormat="1" applyFont="1" applyBorder="1"/>
    <xf numFmtId="0" fontId="30" fillId="4" borderId="33" xfId="0" applyFont="1" applyFill="1" applyBorder="1" applyAlignment="1">
      <alignment horizontal="center" vertical="center"/>
    </xf>
    <xf numFmtId="0" fontId="30" fillId="0" borderId="20" xfId="0" applyFont="1" applyBorder="1" applyAlignment="1">
      <alignment horizontal="center" vertical="center"/>
    </xf>
    <xf numFmtId="0" fontId="30" fillId="0" borderId="20" xfId="0" applyFont="1" applyBorder="1" applyAlignment="1">
      <alignment horizontal="center" vertical="center" wrapText="1"/>
    </xf>
    <xf numFmtId="0" fontId="30" fillId="0" borderId="20" xfId="5" applyFont="1" applyBorder="1" applyAlignment="1">
      <alignment horizontal="center" vertical="center"/>
    </xf>
    <xf numFmtId="44" fontId="30" fillId="0" borderId="20" xfId="1" applyFont="1" applyBorder="1" applyAlignment="1">
      <alignment horizontal="center" vertical="center"/>
    </xf>
    <xf numFmtId="0" fontId="30" fillId="0" borderId="80" xfId="0" applyFont="1" applyBorder="1" applyAlignment="1">
      <alignment horizontal="left" indent="2"/>
    </xf>
    <xf numFmtId="165" fontId="30" fillId="5" borderId="81" xfId="1" applyNumberFormat="1" applyFont="1" applyFill="1" applyBorder="1" applyAlignment="1">
      <alignment vertical="center"/>
    </xf>
    <xf numFmtId="165" fontId="30" fillId="0" borderId="81" xfId="1" applyNumberFormat="1" applyFont="1" applyBorder="1"/>
    <xf numFmtId="165" fontId="30" fillId="17" borderId="93" xfId="1" applyNumberFormat="1" applyFont="1" applyFill="1" applyBorder="1" applyAlignment="1">
      <alignment vertical="center"/>
    </xf>
    <xf numFmtId="165" fontId="30" fillId="5" borderId="82" xfId="1" applyNumberFormat="1" applyFont="1" applyFill="1" applyBorder="1" applyAlignment="1">
      <alignment vertical="center"/>
    </xf>
    <xf numFmtId="165" fontId="30" fillId="0" borderId="82" xfId="1" applyNumberFormat="1" applyFont="1" applyBorder="1"/>
    <xf numFmtId="165" fontId="30" fillId="17" borderId="94" xfId="1" applyNumberFormat="1" applyFont="1" applyFill="1" applyBorder="1" applyAlignment="1">
      <alignment vertical="center"/>
    </xf>
    <xf numFmtId="0" fontId="30" fillId="0" borderId="24" xfId="0" applyFont="1" applyBorder="1" applyAlignment="1">
      <alignment horizontal="left" indent="2"/>
    </xf>
    <xf numFmtId="0" fontId="30" fillId="0" borderId="22" xfId="0" applyFont="1" applyBorder="1"/>
    <xf numFmtId="165" fontId="30" fillId="5" borderId="22" xfId="1" applyNumberFormat="1" applyFont="1" applyFill="1" applyBorder="1" applyAlignment="1">
      <alignment vertical="center"/>
    </xf>
    <xf numFmtId="165" fontId="30" fillId="0" borderId="22" xfId="1" applyNumberFormat="1" applyFont="1" applyBorder="1"/>
    <xf numFmtId="165" fontId="30" fillId="17" borderId="95" xfId="1" applyNumberFormat="1" applyFont="1" applyFill="1" applyBorder="1" applyAlignment="1">
      <alignment vertical="center"/>
    </xf>
    <xf numFmtId="0" fontId="30" fillId="0" borderId="31" xfId="0" applyFont="1" applyBorder="1" applyAlignment="1">
      <alignment horizontal="center" vertical="center"/>
    </xf>
    <xf numFmtId="165" fontId="30" fillId="0" borderId="0" xfId="0" applyNumberFormat="1" applyFont="1"/>
    <xf numFmtId="165" fontId="30" fillId="0" borderId="17" xfId="0" applyNumberFormat="1" applyFont="1" applyBorder="1" applyAlignment="1">
      <alignment horizontal="center" vertical="center"/>
    </xf>
    <xf numFmtId="165" fontId="30" fillId="10" borderId="20" xfId="0" applyNumberFormat="1" applyFont="1" applyFill="1" applyBorder="1" applyAlignment="1">
      <alignment vertical="center"/>
    </xf>
    <xf numFmtId="165" fontId="30" fillId="0" borderId="21" xfId="1" applyNumberFormat="1" applyFont="1" applyFill="1" applyBorder="1" applyAlignment="1">
      <alignment vertical="center"/>
    </xf>
    <xf numFmtId="44" fontId="30" fillId="0" borderId="0" xfId="0" applyNumberFormat="1" applyFont="1" applyAlignment="1">
      <alignment vertical="center"/>
    </xf>
    <xf numFmtId="165" fontId="30" fillId="0" borderId="0" xfId="1" applyNumberFormat="1" applyFont="1" applyFill="1" applyBorder="1" applyAlignment="1">
      <alignment vertical="center"/>
    </xf>
    <xf numFmtId="0" fontId="59" fillId="0" borderId="0" xfId="0" applyFont="1" applyAlignment="1">
      <alignment horizontal="center"/>
    </xf>
    <xf numFmtId="0" fontId="30" fillId="4" borderId="34" xfId="5" applyFont="1" applyFill="1" applyBorder="1" applyAlignment="1">
      <alignment horizontal="left"/>
    </xf>
    <xf numFmtId="0" fontId="30" fillId="4" borderId="34" xfId="5" applyFont="1" applyFill="1" applyBorder="1"/>
    <xf numFmtId="2" fontId="30" fillId="4" borderId="34" xfId="5" applyNumberFormat="1" applyFont="1" applyFill="1" applyBorder="1" applyAlignment="1">
      <alignment horizontal="center"/>
    </xf>
    <xf numFmtId="0" fontId="30" fillId="4" borderId="34" xfId="5" applyFont="1" applyFill="1" applyBorder="1" applyAlignment="1">
      <alignment horizontal="center"/>
    </xf>
    <xf numFmtId="7" fontId="30" fillId="4" borderId="34" xfId="5" applyNumberFormat="1" applyFont="1" applyFill="1" applyBorder="1"/>
    <xf numFmtId="44" fontId="30" fillId="0" borderId="20" xfId="1" applyFont="1" applyFill="1" applyBorder="1" applyAlignment="1">
      <alignment horizontal="center"/>
    </xf>
    <xf numFmtId="2" fontId="30" fillId="0" borderId="0" xfId="5" applyNumberFormat="1" applyFont="1" applyAlignment="1">
      <alignment horizontal="center"/>
    </xf>
    <xf numFmtId="7" fontId="30" fillId="0" borderId="0" xfId="5" applyNumberFormat="1" applyFont="1"/>
    <xf numFmtId="44" fontId="30" fillId="0" borderId="17" xfId="1" applyFont="1" applyBorder="1" applyAlignment="1">
      <alignment horizontal="center"/>
    </xf>
    <xf numFmtId="0" fontId="30" fillId="5" borderId="66" xfId="0" applyFont="1" applyFill="1" applyBorder="1" applyAlignment="1">
      <alignment horizontal="center"/>
    </xf>
    <xf numFmtId="9" fontId="30" fillId="5" borderId="66" xfId="3" applyFont="1" applyFill="1" applyBorder="1" applyAlignment="1">
      <alignment horizontal="center"/>
    </xf>
    <xf numFmtId="2" fontId="30" fillId="6" borderId="66" xfId="3" applyNumberFormat="1" applyFont="1" applyFill="1" applyBorder="1" applyAlignment="1">
      <alignment horizontal="center"/>
    </xf>
    <xf numFmtId="166" fontId="30" fillId="6" borderId="66" xfId="0" applyNumberFormat="1" applyFont="1" applyFill="1" applyBorder="1" applyAlignment="1">
      <alignment horizontal="center"/>
    </xf>
    <xf numFmtId="166" fontId="39" fillId="0" borderId="17" xfId="0" applyNumberFormat="1" applyFont="1" applyBorder="1"/>
    <xf numFmtId="44" fontId="30" fillId="0" borderId="17" xfId="1" applyFont="1" applyBorder="1"/>
    <xf numFmtId="166" fontId="39" fillId="0" borderId="0" xfId="0" applyNumberFormat="1" applyFont="1" applyAlignment="1">
      <alignment horizontal="left" indent="1"/>
    </xf>
    <xf numFmtId="167" fontId="30" fillId="5" borderId="66" xfId="0" applyNumberFormat="1" applyFont="1" applyFill="1" applyBorder="1" applyAlignment="1">
      <alignment horizontal="center"/>
    </xf>
    <xf numFmtId="2" fontId="30" fillId="0" borderId="0" xfId="0" applyNumberFormat="1" applyFont="1" applyAlignment="1">
      <alignment horizontal="center"/>
    </xf>
    <xf numFmtId="166" fontId="30" fillId="0" borderId="66" xfId="0" applyNumberFormat="1" applyFont="1" applyBorder="1" applyAlignment="1">
      <alignment horizontal="center"/>
    </xf>
    <xf numFmtId="9" fontId="30" fillId="0" borderId="0" xfId="3" applyFont="1" applyFill="1" applyBorder="1" applyAlignment="1">
      <alignment horizontal="center"/>
    </xf>
    <xf numFmtId="167" fontId="30" fillId="0" borderId="0" xfId="0" applyNumberFormat="1" applyFont="1" applyAlignment="1">
      <alignment horizontal="center"/>
    </xf>
    <xf numFmtId="44" fontId="30" fillId="0" borderId="17" xfId="1" applyFont="1" applyFill="1" applyBorder="1" applyAlignment="1">
      <alignment horizontal="center"/>
    </xf>
    <xf numFmtId="0" fontId="30" fillId="0" borderId="0" xfId="0" applyFont="1" applyAlignment="1" applyProtection="1">
      <alignment horizontal="left"/>
      <protection locked="0"/>
    </xf>
    <xf numFmtId="0" fontId="30" fillId="6" borderId="66" xfId="0" applyFont="1" applyFill="1" applyBorder="1" applyAlignment="1" applyProtection="1">
      <alignment horizontal="center"/>
      <protection locked="0"/>
    </xf>
    <xf numFmtId="10" fontId="30" fillId="5" borderId="66" xfId="0" applyNumberFormat="1" applyFont="1" applyFill="1" applyBorder="1" applyAlignment="1" applyProtection="1">
      <alignment horizontal="center"/>
      <protection locked="0"/>
    </xf>
    <xf numFmtId="44" fontId="30" fillId="0" borderId="17" xfId="1" applyFont="1" applyFill="1" applyBorder="1"/>
    <xf numFmtId="166" fontId="30" fillId="0" borderId="0" xfId="0" applyNumberFormat="1" applyFont="1" applyAlignment="1">
      <alignment horizontal="center"/>
    </xf>
    <xf numFmtId="0" fontId="30" fillId="0" borderId="31" xfId="5" applyFont="1" applyBorder="1"/>
    <xf numFmtId="0" fontId="30" fillId="0" borderId="22" xfId="5" applyFont="1" applyBorder="1"/>
    <xf numFmtId="10" fontId="30" fillId="5" borderId="110" xfId="0" applyNumberFormat="1" applyFont="1" applyFill="1" applyBorder="1" applyAlignment="1" applyProtection="1">
      <alignment horizontal="center"/>
      <protection locked="0"/>
    </xf>
    <xf numFmtId="10" fontId="30" fillId="5" borderId="111" xfId="0" applyNumberFormat="1" applyFont="1" applyFill="1" applyBorder="1" applyAlignment="1" applyProtection="1">
      <alignment horizontal="center"/>
      <protection locked="0"/>
    </xf>
    <xf numFmtId="7" fontId="30" fillId="0" borderId="0" xfId="5" applyNumberFormat="1" applyFont="1" applyAlignment="1">
      <alignment horizontal="center"/>
    </xf>
    <xf numFmtId="10" fontId="30" fillId="5" borderId="112" xfId="0" applyNumberFormat="1" applyFont="1" applyFill="1" applyBorder="1" applyAlignment="1" applyProtection="1">
      <alignment horizontal="center"/>
      <protection locked="0"/>
    </xf>
    <xf numFmtId="0" fontId="30" fillId="4" borderId="33" xfId="0" quotePrefix="1" applyFont="1" applyFill="1" applyBorder="1" applyAlignment="1" applyProtection="1">
      <alignment horizontal="left"/>
      <protection locked="0"/>
    </xf>
    <xf numFmtId="0" fontId="51" fillId="4" borderId="34" xfId="5" applyFont="1" applyFill="1" applyBorder="1" applyAlignment="1">
      <alignment horizontal="right"/>
    </xf>
    <xf numFmtId="5" fontId="30" fillId="4" borderId="34" xfId="5" applyNumberFormat="1" applyFont="1" applyFill="1" applyBorder="1" applyAlignment="1">
      <alignment horizontal="center"/>
    </xf>
    <xf numFmtId="0" fontId="30" fillId="0" borderId="0" xfId="5" applyFont="1" applyAlignment="1">
      <alignment horizontal="left" indent="1"/>
    </xf>
    <xf numFmtId="0" fontId="51" fillId="0" borderId="30" xfId="5" applyFont="1" applyBorder="1" applyAlignment="1">
      <alignment horizontal="center"/>
    </xf>
    <xf numFmtId="0" fontId="51" fillId="0" borderId="0" xfId="5" applyFont="1" applyAlignment="1">
      <alignment horizontal="right"/>
    </xf>
    <xf numFmtId="0" fontId="30" fillId="0" borderId="31" xfId="5" applyFont="1" applyBorder="1" applyAlignment="1">
      <alignment horizontal="left" indent="1"/>
    </xf>
    <xf numFmtId="0" fontId="30" fillId="0" borderId="0" xfId="0" applyFont="1" applyAlignment="1" applyProtection="1">
      <alignment horizontal="left" indent="2"/>
      <protection locked="0"/>
    </xf>
    <xf numFmtId="10" fontId="30" fillId="5" borderId="66" xfId="3" applyNumberFormat="1" applyFont="1" applyFill="1" applyBorder="1" applyAlignment="1" applyProtection="1">
      <alignment horizontal="center"/>
      <protection locked="0"/>
    </xf>
    <xf numFmtId="44" fontId="30" fillId="5" borderId="69" xfId="1" applyFont="1" applyFill="1" applyBorder="1" applyAlignment="1" applyProtection="1">
      <alignment horizontal="center"/>
      <protection locked="0"/>
    </xf>
    <xf numFmtId="44" fontId="30" fillId="0" borderId="0" xfId="1" applyFont="1" applyFill="1" applyBorder="1" applyAlignment="1">
      <alignment horizontal="center"/>
    </xf>
    <xf numFmtId="2" fontId="30" fillId="6" borderId="0" xfId="5" applyNumberFormat="1" applyFont="1" applyFill="1" applyAlignment="1">
      <alignment horizontal="center"/>
    </xf>
    <xf numFmtId="7" fontId="30" fillId="5" borderId="0" xfId="5" applyNumberFormat="1" applyFont="1" applyFill="1"/>
    <xf numFmtId="5" fontId="30" fillId="0" borderId="0" xfId="5" applyNumberFormat="1" applyFont="1" applyAlignment="1">
      <alignment horizontal="center"/>
    </xf>
    <xf numFmtId="44" fontId="30" fillId="0" borderId="0" xfId="1" applyFont="1" applyAlignment="1">
      <alignment horizontal="center"/>
    </xf>
    <xf numFmtId="2" fontId="30" fillId="6" borderId="22" xfId="5" applyNumberFormat="1" applyFont="1" applyFill="1" applyBorder="1" applyAlignment="1">
      <alignment horizontal="center"/>
    </xf>
    <xf numFmtId="0" fontId="30" fillId="0" borderId="22" xfId="5" applyFont="1" applyBorder="1" applyAlignment="1">
      <alignment horizontal="center"/>
    </xf>
    <xf numFmtId="9" fontId="30" fillId="5" borderId="22" xfId="5" applyNumberFormat="1" applyFont="1" applyFill="1" applyBorder="1"/>
    <xf numFmtId="5" fontId="30" fillId="0" borderId="22" xfId="5" applyNumberFormat="1" applyFont="1" applyBorder="1" applyAlignment="1">
      <alignment horizontal="center"/>
    </xf>
    <xf numFmtId="0" fontId="39" fillId="0" borderId="0" xfId="0" applyFont="1" applyAlignment="1">
      <alignment horizontal="center"/>
    </xf>
    <xf numFmtId="166" fontId="39" fillId="0" borderId="0" xfId="0" applyNumberFormat="1" applyFont="1" applyAlignment="1">
      <alignment horizontal="center"/>
    </xf>
    <xf numFmtId="0" fontId="30" fillId="0" borderId="31" xfId="0" applyFont="1" applyBorder="1" applyAlignment="1" applyProtection="1">
      <alignment horizontal="left"/>
      <protection locked="0"/>
    </xf>
    <xf numFmtId="0" fontId="30" fillId="0" borderId="0" xfId="0" quotePrefix="1" applyFont="1" applyProtection="1">
      <protection locked="0"/>
    </xf>
    <xf numFmtId="0" fontId="7" fillId="0" borderId="0" xfId="0" applyFont="1" applyAlignment="1">
      <alignment vertical="center"/>
    </xf>
    <xf numFmtId="5" fontId="30" fillId="5" borderId="83" xfId="1" applyNumberFormat="1" applyFont="1" applyFill="1" applyBorder="1" applyAlignment="1">
      <alignment vertical="center"/>
    </xf>
    <xf numFmtId="44" fontId="30" fillId="0" borderId="81" xfId="1" applyFont="1" applyBorder="1"/>
    <xf numFmtId="44" fontId="7" fillId="10" borderId="0" xfId="1" applyFill="1" applyBorder="1"/>
    <xf numFmtId="0" fontId="7" fillId="0" borderId="52" xfId="0" applyFont="1" applyBorder="1"/>
    <xf numFmtId="0" fontId="7" fillId="0" borderId="58" xfId="0" applyFont="1" applyBorder="1"/>
    <xf numFmtId="0" fontId="7" fillId="0" borderId="59" xfId="0" applyFont="1" applyBorder="1"/>
    <xf numFmtId="10" fontId="7" fillId="0" borderId="52" xfId="3" applyNumberFormat="1" applyFont="1" applyBorder="1"/>
    <xf numFmtId="9" fontId="7" fillId="0" borderId="58" xfId="3" applyFont="1" applyBorder="1"/>
    <xf numFmtId="9" fontId="7" fillId="0" borderId="59" xfId="3" applyFont="1" applyBorder="1"/>
    <xf numFmtId="9" fontId="7" fillId="0" borderId="113" xfId="3" applyFont="1" applyBorder="1"/>
    <xf numFmtId="9" fontId="7" fillId="0" borderId="114" xfId="3" applyFont="1" applyBorder="1"/>
    <xf numFmtId="0" fontId="8" fillId="0" borderId="37" xfId="0" applyFont="1" applyBorder="1"/>
    <xf numFmtId="0" fontId="8" fillId="0" borderId="49" xfId="0" applyFont="1" applyBorder="1"/>
    <xf numFmtId="164" fontId="8" fillId="0" borderId="49" xfId="0" applyNumberFormat="1" applyFont="1" applyBorder="1"/>
    <xf numFmtId="3" fontId="8" fillId="0" borderId="50" xfId="0" applyNumberFormat="1" applyFont="1" applyBorder="1"/>
    <xf numFmtId="0" fontId="7" fillId="0" borderId="63" xfId="0" applyFont="1" applyBorder="1"/>
    <xf numFmtId="9" fontId="7" fillId="0" borderId="116" xfId="3" applyFont="1" applyBorder="1"/>
    <xf numFmtId="165" fontId="30" fillId="0" borderId="0" xfId="2" applyNumberFormat="1" applyFont="1"/>
    <xf numFmtId="165" fontId="57" fillId="0" borderId="21" xfId="1" applyNumberFormat="1" applyFont="1" applyBorder="1" applyAlignment="1" applyProtection="1">
      <alignment vertical="center"/>
      <protection locked="0"/>
    </xf>
    <xf numFmtId="0" fontId="30" fillId="0" borderId="17" xfId="0" applyFont="1" applyBorder="1" applyAlignment="1">
      <alignment horizontal="center"/>
    </xf>
    <xf numFmtId="10" fontId="7" fillId="0" borderId="0" xfId="3" applyNumberFormat="1" applyFont="1" applyBorder="1"/>
    <xf numFmtId="169" fontId="64" fillId="0" borderId="0" xfId="0" applyNumberFormat="1" applyFont="1" applyAlignment="1">
      <alignment horizontal="right" shrinkToFit="1"/>
    </xf>
    <xf numFmtId="0" fontId="0" fillId="0" borderId="0" xfId="0" applyAlignment="1">
      <alignment horizontal="left" vertical="top"/>
    </xf>
    <xf numFmtId="0" fontId="63" fillId="0" borderId="0" xfId="0" applyFont="1" applyAlignment="1">
      <alignment horizontal="left"/>
    </xf>
    <xf numFmtId="0" fontId="44" fillId="16" borderId="31" xfId="17" applyFont="1" applyFill="1" applyBorder="1"/>
    <xf numFmtId="0" fontId="21" fillId="16" borderId="0" xfId="2" applyFont="1" applyFill="1"/>
    <xf numFmtId="0" fontId="44" fillId="16" borderId="0" xfId="17" applyFont="1" applyFill="1"/>
    <xf numFmtId="0" fontId="3" fillId="16" borderId="0" xfId="17" applyFill="1"/>
    <xf numFmtId="0" fontId="3" fillId="16" borderId="0" xfId="17" applyFill="1" applyAlignment="1">
      <alignment wrapText="1"/>
    </xf>
    <xf numFmtId="0" fontId="21" fillId="16" borderId="0" xfId="2" applyFont="1" applyFill="1" applyAlignment="1">
      <alignment horizontal="left" indent="1"/>
    </xf>
    <xf numFmtId="0" fontId="3" fillId="16" borderId="0" xfId="17" applyFill="1" applyAlignment="1">
      <alignment horizontal="left" indent="1"/>
    </xf>
    <xf numFmtId="0" fontId="2" fillId="16" borderId="0" xfId="17" applyFont="1" applyFill="1" applyAlignment="1">
      <alignment vertical="top" wrapText="1"/>
    </xf>
    <xf numFmtId="0" fontId="44" fillId="16" borderId="17" xfId="17" applyFont="1" applyFill="1" applyBorder="1"/>
    <xf numFmtId="0" fontId="46" fillId="16" borderId="0" xfId="17" applyFont="1" applyFill="1"/>
    <xf numFmtId="0" fontId="3" fillId="16" borderId="17" xfId="17" applyFill="1" applyBorder="1"/>
    <xf numFmtId="0" fontId="45" fillId="16" borderId="0" xfId="17" applyFont="1" applyFill="1" applyAlignment="1">
      <alignment horizontal="right"/>
    </xf>
    <xf numFmtId="0" fontId="3" fillId="16" borderId="17" xfId="17" applyFill="1" applyBorder="1" applyAlignment="1">
      <alignment wrapText="1"/>
    </xf>
    <xf numFmtId="0" fontId="3" fillId="16" borderId="0" xfId="17" applyFill="1" applyAlignment="1">
      <alignment horizontal="right"/>
    </xf>
    <xf numFmtId="0" fontId="21" fillId="16" borderId="0" xfId="2" applyFont="1" applyFill="1" applyAlignment="1">
      <alignment horizontal="right"/>
    </xf>
    <xf numFmtId="0" fontId="21" fillId="16" borderId="17" xfId="2" applyFont="1" applyFill="1" applyBorder="1" applyAlignment="1">
      <alignment horizontal="left" indent="1"/>
    </xf>
    <xf numFmtId="0" fontId="3" fillId="16" borderId="17" xfId="17" applyFill="1" applyBorder="1" applyAlignment="1">
      <alignment horizontal="left" indent="1"/>
    </xf>
    <xf numFmtId="0" fontId="2" fillId="16" borderId="0" xfId="17" applyFont="1" applyFill="1" applyAlignment="1">
      <alignment wrapText="1"/>
    </xf>
    <xf numFmtId="0" fontId="21" fillId="0" borderId="0" xfId="2" applyFont="1" applyAlignment="1">
      <alignment horizontal="right"/>
    </xf>
    <xf numFmtId="0" fontId="21" fillId="0" borderId="0" xfId="2" applyFont="1" applyAlignment="1">
      <alignment horizontal="left" indent="1"/>
    </xf>
    <xf numFmtId="49" fontId="3" fillId="16" borderId="0" xfId="17" quotePrefix="1" applyNumberFormat="1" applyFill="1" applyAlignment="1">
      <alignment horizontal="right"/>
    </xf>
    <xf numFmtId="0" fontId="1" fillId="16" borderId="0" xfId="17" applyFont="1" applyFill="1" applyAlignment="1">
      <alignment horizontal="left" indent="1"/>
    </xf>
    <xf numFmtId="0" fontId="3" fillId="16" borderId="0" xfId="17" quotePrefix="1" applyFill="1"/>
    <xf numFmtId="0" fontId="3" fillId="16" borderId="0" xfId="17" applyFill="1" applyAlignment="1">
      <alignment horizontal="right" vertical="top"/>
    </xf>
    <xf numFmtId="0" fontId="3" fillId="16" borderId="0" xfId="17" applyFill="1" applyAlignment="1">
      <alignment vertical="top" wrapText="1"/>
    </xf>
    <xf numFmtId="0" fontId="3" fillId="16" borderId="17" xfId="17" applyFill="1" applyBorder="1" applyAlignment="1">
      <alignment vertical="top" wrapText="1"/>
    </xf>
    <xf numFmtId="0" fontId="3" fillId="16" borderId="0" xfId="17" applyFill="1" applyAlignment="1">
      <alignment horizontal="left" vertical="top" indent="1"/>
    </xf>
    <xf numFmtId="0" fontId="3" fillId="16" borderId="19" xfId="17" applyFill="1" applyBorder="1" applyAlignment="1">
      <alignment horizontal="left" indent="1"/>
    </xf>
    <xf numFmtId="0" fontId="8" fillId="11" borderId="20" xfId="2" applyFont="1" applyFill="1" applyBorder="1"/>
    <xf numFmtId="0" fontId="8" fillId="0" borderId="0" xfId="2" applyFont="1" applyAlignment="1">
      <alignment horizontal="right"/>
    </xf>
    <xf numFmtId="0" fontId="8" fillId="0" borderId="0" xfId="2" quotePrefix="1" applyFont="1" applyAlignment="1">
      <alignment horizontal="right"/>
    </xf>
    <xf numFmtId="0" fontId="65" fillId="0" borderId="0" xfId="0" applyFont="1" applyAlignment="1">
      <alignment horizontal="left" vertical="top" wrapText="1"/>
    </xf>
    <xf numFmtId="0" fontId="65" fillId="0" borderId="0" xfId="0" applyFont="1" applyAlignment="1">
      <alignment horizontal="left" vertical="top" wrapText="1" indent="1"/>
    </xf>
    <xf numFmtId="0" fontId="63" fillId="0" borderId="0" xfId="0" applyFont="1" applyAlignment="1">
      <alignment vertical="top" wrapText="1"/>
    </xf>
    <xf numFmtId="0" fontId="0" fillId="0" borderId="0" xfId="0" applyAlignment="1">
      <alignment vertical="top" wrapText="1"/>
    </xf>
    <xf numFmtId="0" fontId="39" fillId="0" borderId="71" xfId="0" applyFont="1" applyBorder="1" applyAlignment="1">
      <alignment horizontal="center" wrapText="1"/>
    </xf>
    <xf numFmtId="0" fontId="23" fillId="0" borderId="14" xfId="0" applyFont="1" applyBorder="1" applyAlignment="1">
      <alignment horizontal="center" vertical="top"/>
    </xf>
    <xf numFmtId="44" fontId="64" fillId="0" borderId="5" xfId="1" applyFont="1" applyBorder="1" applyAlignment="1">
      <alignment horizontal="center" shrinkToFit="1"/>
    </xf>
    <xf numFmtId="44" fontId="7" fillId="0" borderId="14" xfId="1" applyFont="1" applyBorder="1"/>
    <xf numFmtId="44" fontId="64" fillId="0" borderId="14" xfId="1" applyFont="1" applyBorder="1" applyAlignment="1">
      <alignment horizontal="center" shrinkToFit="1"/>
    </xf>
    <xf numFmtId="0" fontId="23" fillId="0" borderId="28" xfId="0" applyFont="1" applyBorder="1" applyAlignment="1">
      <alignment horizontal="center" vertical="top"/>
    </xf>
    <xf numFmtId="0" fontId="23" fillId="0" borderId="39" xfId="2" applyFont="1" applyBorder="1" applyAlignment="1">
      <alignment horizontal="center"/>
    </xf>
    <xf numFmtId="44" fontId="7" fillId="0" borderId="28" xfId="1" applyFont="1" applyBorder="1"/>
    <xf numFmtId="44" fontId="7" fillId="0" borderId="39" xfId="1" applyFont="1" applyBorder="1"/>
    <xf numFmtId="44" fontId="7" fillId="0" borderId="40" xfId="1" applyFont="1" applyBorder="1"/>
    <xf numFmtId="0" fontId="8" fillId="0" borderId="31" xfId="2" applyFont="1" applyBorder="1"/>
    <xf numFmtId="0" fontId="65" fillId="0" borderId="26" xfId="0" applyFont="1" applyBorder="1" applyAlignment="1">
      <alignment horizontal="center" vertical="top"/>
    </xf>
    <xf numFmtId="0" fontId="65" fillId="0" borderId="27" xfId="0" applyFont="1" applyBorder="1" applyAlignment="1">
      <alignment horizontal="center" vertical="top"/>
    </xf>
    <xf numFmtId="0" fontId="23" fillId="0" borderId="48" xfId="2" applyFont="1" applyBorder="1" applyAlignment="1">
      <alignment horizontal="center"/>
    </xf>
    <xf numFmtId="44" fontId="64" fillId="0" borderId="35" xfId="1" applyFont="1" applyBorder="1" applyAlignment="1">
      <alignment horizontal="center" shrinkToFit="1"/>
    </xf>
    <xf numFmtId="44" fontId="64" fillId="0" borderId="28" xfId="1" applyFont="1" applyBorder="1" applyAlignment="1">
      <alignment horizontal="center" shrinkToFit="1"/>
    </xf>
    <xf numFmtId="44" fontId="64" fillId="0" borderId="47" xfId="1" applyFont="1" applyBorder="1" applyAlignment="1">
      <alignment horizontal="center" shrinkToFit="1"/>
    </xf>
    <xf numFmtId="44" fontId="64" fillId="0" borderId="29" xfId="1" applyFont="1" applyBorder="1" applyAlignment="1">
      <alignment horizontal="center" shrinkToFit="1"/>
    </xf>
    <xf numFmtId="0" fontId="51" fillId="0" borderId="31" xfId="0" applyFont="1" applyBorder="1" applyAlignment="1" applyProtection="1">
      <alignment horizontal="center"/>
      <protection locked="0"/>
    </xf>
    <xf numFmtId="166" fontId="30" fillId="0" borderId="0" xfId="2" applyNumberFormat="1" applyFont="1"/>
    <xf numFmtId="0" fontId="30" fillId="5" borderId="85" xfId="0" applyFont="1" applyFill="1" applyBorder="1"/>
    <xf numFmtId="0" fontId="8" fillId="0" borderId="0" xfId="0" applyFont="1" applyAlignment="1">
      <alignment vertical="top"/>
    </xf>
    <xf numFmtId="0" fontId="39" fillId="0" borderId="17" xfId="0" applyFont="1" applyBorder="1"/>
    <xf numFmtId="10" fontId="30" fillId="0" borderId="0" xfId="2" applyNumberFormat="1" applyFont="1"/>
    <xf numFmtId="170" fontId="30" fillId="0" borderId="0" xfId="2" applyNumberFormat="1" applyFont="1"/>
    <xf numFmtId="10" fontId="30" fillId="0" borderId="0" xfId="3" applyNumberFormat="1" applyFont="1"/>
    <xf numFmtId="171" fontId="30" fillId="0" borderId="0" xfId="2" applyNumberFormat="1" applyFont="1"/>
    <xf numFmtId="1" fontId="30" fillId="0" borderId="0" xfId="0" applyNumberFormat="1" applyFont="1" applyAlignment="1">
      <alignment horizontal="left" indent="1"/>
    </xf>
    <xf numFmtId="5" fontId="7" fillId="0" borderId="22" xfId="0" applyNumberFormat="1" applyFont="1" applyBorder="1" applyAlignment="1">
      <alignment horizontal="right"/>
    </xf>
    <xf numFmtId="10" fontId="7" fillId="0" borderId="22" xfId="3" applyNumberFormat="1" applyFont="1" applyBorder="1"/>
    <xf numFmtId="167" fontId="7" fillId="0" borderId="0" xfId="0" applyNumberFormat="1" applyFont="1" applyAlignment="1">
      <alignment horizontal="right"/>
    </xf>
    <xf numFmtId="10" fontId="7" fillId="0" borderId="0" xfId="0" applyNumberFormat="1" applyFont="1" applyAlignment="1">
      <alignment horizontal="right"/>
    </xf>
    <xf numFmtId="10" fontId="7" fillId="0" borderId="117" xfId="0" applyNumberFormat="1" applyFont="1" applyBorder="1"/>
    <xf numFmtId="10" fontId="7" fillId="0" borderId="17" xfId="0" applyNumberFormat="1" applyFont="1" applyBorder="1"/>
    <xf numFmtId="10" fontId="7" fillId="0" borderId="19" xfId="0" applyNumberFormat="1" applyFont="1" applyBorder="1"/>
    <xf numFmtId="44" fontId="7" fillId="10" borderId="0" xfId="0" applyNumberFormat="1" applyFont="1" applyFill="1"/>
    <xf numFmtId="0" fontId="8" fillId="18" borderId="20" xfId="0" applyFont="1" applyFill="1" applyBorder="1" applyAlignment="1">
      <alignment horizontal="center" wrapText="1"/>
    </xf>
    <xf numFmtId="44" fontId="7" fillId="18" borderId="47" xfId="0" applyNumberFormat="1" applyFont="1" applyFill="1" applyBorder="1" applyAlignment="1">
      <alignment horizontal="center"/>
    </xf>
    <xf numFmtId="0" fontId="7" fillId="18" borderId="22" xfId="0" applyFont="1" applyFill="1" applyBorder="1"/>
    <xf numFmtId="0" fontId="7" fillId="18" borderId="19" xfId="0" applyFont="1" applyFill="1" applyBorder="1"/>
    <xf numFmtId="0" fontId="7" fillId="18" borderId="35" xfId="0" applyFont="1" applyFill="1" applyBorder="1" applyAlignment="1">
      <alignment horizontal="center"/>
    </xf>
    <xf numFmtId="44" fontId="7" fillId="18" borderId="5" xfId="0" applyNumberFormat="1" applyFont="1" applyFill="1" applyBorder="1"/>
    <xf numFmtId="0" fontId="7" fillId="18" borderId="41" xfId="0" applyFont="1" applyFill="1" applyBorder="1"/>
    <xf numFmtId="0" fontId="8" fillId="18" borderId="34" xfId="0" applyFont="1" applyFill="1" applyBorder="1" applyAlignment="1">
      <alignment horizontal="center"/>
    </xf>
    <xf numFmtId="0" fontId="8" fillId="18" borderId="56" xfId="0" applyFont="1" applyFill="1" applyBorder="1" applyAlignment="1">
      <alignment horizontal="center"/>
    </xf>
    <xf numFmtId="0" fontId="7" fillId="0" borderId="0" xfId="0" applyFont="1" applyAlignment="1">
      <alignment horizontal="left"/>
    </xf>
    <xf numFmtId="44" fontId="30" fillId="0" borderId="17" xfId="1" applyFont="1" applyBorder="1" applyAlignment="1">
      <alignment horizontal="left" indent="4"/>
    </xf>
    <xf numFmtId="165" fontId="17" fillId="0" borderId="65" xfId="0" applyNumberFormat="1" applyFont="1" applyBorder="1" applyAlignment="1" applyProtection="1">
      <alignment horizontal="left" indent="2"/>
      <protection locked="0"/>
    </xf>
    <xf numFmtId="165" fontId="17" fillId="0" borderId="67" xfId="0" applyNumberFormat="1" applyFont="1" applyBorder="1" applyAlignment="1" applyProtection="1">
      <alignment horizontal="left" indent="2"/>
      <protection locked="0"/>
    </xf>
    <xf numFmtId="44" fontId="17" fillId="0" borderId="67" xfId="0" applyNumberFormat="1" applyFont="1" applyBorder="1" applyAlignment="1" applyProtection="1">
      <alignment horizontal="left" indent="2"/>
      <protection locked="0"/>
    </xf>
    <xf numFmtId="165" fontId="22" fillId="0" borderId="22" xfId="0" applyNumberFormat="1" applyFont="1" applyBorder="1" applyProtection="1">
      <protection locked="0"/>
    </xf>
    <xf numFmtId="0" fontId="7" fillId="0" borderId="0" xfId="0" applyFont="1" applyAlignment="1">
      <alignment vertical="center" wrapText="1"/>
    </xf>
    <xf numFmtId="0" fontId="30" fillId="0" borderId="0" xfId="2" quotePrefix="1" applyFont="1"/>
    <xf numFmtId="2" fontId="30" fillId="0" borderId="0" xfId="2" applyNumberFormat="1" applyFont="1"/>
    <xf numFmtId="9" fontId="30" fillId="0" borderId="0" xfId="2" applyNumberFormat="1" applyFont="1"/>
    <xf numFmtId="3" fontId="30" fillId="0" borderId="0" xfId="2" applyNumberFormat="1" applyFont="1"/>
    <xf numFmtId="0" fontId="70" fillId="0" borderId="17" xfId="6" applyFont="1" applyBorder="1" applyAlignment="1">
      <alignment horizontal="center"/>
    </xf>
    <xf numFmtId="44" fontId="51" fillId="0" borderId="0" xfId="1" applyFont="1" applyProtection="1">
      <protection locked="0"/>
    </xf>
    <xf numFmtId="172" fontId="30" fillId="0" borderId="0" xfId="0" applyNumberFormat="1" applyFont="1" applyProtection="1">
      <protection locked="0"/>
    </xf>
    <xf numFmtId="3" fontId="71" fillId="0" borderId="0" xfId="0" applyNumberFormat="1" applyFont="1" applyAlignment="1" applyProtection="1">
      <alignment horizontal="left"/>
      <protection locked="0"/>
    </xf>
    <xf numFmtId="0" fontId="30" fillId="0" borderId="0" xfId="0" applyFont="1" applyAlignment="1" applyProtection="1">
      <alignment horizontal="center"/>
      <protection locked="0"/>
    </xf>
    <xf numFmtId="0" fontId="72" fillId="0" borderId="25" xfId="2" applyFont="1" applyBorder="1"/>
    <xf numFmtId="10" fontId="39" fillId="0" borderId="23" xfId="5" applyNumberFormat="1" applyFont="1" applyBorder="1" applyAlignment="1">
      <alignment horizontal="center" vertical="center" wrapText="1"/>
    </xf>
    <xf numFmtId="0" fontId="71" fillId="0" borderId="0" xfId="5" applyFont="1"/>
    <xf numFmtId="0" fontId="58" fillId="19" borderId="0" xfId="0" applyFont="1" applyFill="1" applyAlignment="1">
      <alignment horizontal="left" indent="1"/>
    </xf>
    <xf numFmtId="0" fontId="58" fillId="19" borderId="0" xfId="0" applyFont="1" applyFill="1"/>
    <xf numFmtId="0" fontId="7" fillId="0" borderId="0" xfId="0" applyFont="1" applyAlignment="1">
      <alignment horizontal="left" vertical="center" indent="1"/>
    </xf>
    <xf numFmtId="0" fontId="7" fillId="0" borderId="0" xfId="0" applyFont="1" applyAlignment="1">
      <alignment horizontal="left" vertical="center"/>
    </xf>
    <xf numFmtId="0" fontId="7" fillId="0" borderId="121" xfId="0" applyFont="1" applyBorder="1"/>
    <xf numFmtId="9" fontId="7" fillId="0" borderId="122" xfId="3" applyFont="1" applyBorder="1"/>
    <xf numFmtId="10" fontId="73" fillId="0" borderId="14" xfId="3" applyNumberFormat="1" applyFont="1" applyFill="1" applyBorder="1" applyAlignment="1">
      <alignment vertical="center"/>
    </xf>
    <xf numFmtId="10" fontId="73" fillId="0" borderId="14" xfId="3" applyNumberFormat="1" applyFont="1" applyFill="1" applyBorder="1" applyAlignment="1"/>
    <xf numFmtId="10" fontId="73" fillId="0" borderId="6" xfId="3" applyNumberFormat="1" applyFont="1" applyFill="1" applyBorder="1" applyAlignment="1">
      <alignment vertical="center"/>
    </xf>
    <xf numFmtId="10" fontId="73" fillId="0" borderId="123" xfId="3" applyNumberFormat="1" applyFont="1" applyFill="1" applyBorder="1" applyAlignment="1">
      <alignment vertical="center"/>
    </xf>
    <xf numFmtId="10" fontId="73" fillId="0" borderId="28" xfId="3" applyNumberFormat="1" applyFont="1" applyFill="1" applyBorder="1" applyAlignment="1">
      <alignment vertical="center"/>
    </xf>
    <xf numFmtId="10" fontId="7" fillId="0" borderId="18" xfId="3" applyNumberFormat="1" applyFont="1" applyBorder="1"/>
    <xf numFmtId="10" fontId="7" fillId="0" borderId="17" xfId="3" applyNumberFormat="1" applyFont="1" applyBorder="1"/>
    <xf numFmtId="10" fontId="7" fillId="0" borderId="115" xfId="0" applyNumberFormat="1" applyFont="1" applyBorder="1"/>
    <xf numFmtId="10" fontId="7" fillId="0" borderId="113" xfId="3" applyNumberFormat="1" applyFont="1" applyBorder="1"/>
    <xf numFmtId="10" fontId="7" fillId="0" borderId="114" xfId="3" applyNumberFormat="1" applyFont="1" applyBorder="1"/>
    <xf numFmtId="10" fontId="7" fillId="0" borderId="15" xfId="3" applyNumberFormat="1" applyFont="1" applyBorder="1"/>
    <xf numFmtId="9" fontId="7" fillId="0" borderId="23" xfId="3" applyFont="1" applyBorder="1"/>
    <xf numFmtId="0" fontId="7" fillId="0" borderId="15" xfId="0" applyFont="1" applyBorder="1"/>
    <xf numFmtId="0" fontId="73" fillId="0" borderId="58" xfId="0" applyFont="1" applyBorder="1" applyAlignment="1">
      <alignment vertical="center"/>
    </xf>
    <xf numFmtId="0" fontId="73" fillId="0" borderId="58" xfId="0" applyFont="1" applyBorder="1"/>
    <xf numFmtId="0" fontId="73" fillId="0" borderId="59" xfId="0" applyFont="1" applyBorder="1"/>
    <xf numFmtId="10" fontId="30" fillId="5" borderId="69" xfId="0" applyNumberFormat="1" applyFont="1" applyFill="1" applyBorder="1" applyAlignment="1" applyProtection="1">
      <alignment horizontal="center"/>
      <protection locked="0"/>
    </xf>
    <xf numFmtId="10" fontId="30" fillId="5" borderId="124" xfId="0" applyNumberFormat="1" applyFont="1" applyFill="1" applyBorder="1" applyAlignment="1" applyProtection="1">
      <alignment horizontal="center"/>
      <protection locked="0"/>
    </xf>
    <xf numFmtId="0" fontId="8" fillId="0" borderId="117" xfId="0" applyFont="1" applyBorder="1" applyAlignment="1">
      <alignment horizontal="center"/>
    </xf>
    <xf numFmtId="0" fontId="8" fillId="0" borderId="125" xfId="0" applyFont="1" applyBorder="1" applyAlignment="1">
      <alignment horizontal="center"/>
    </xf>
    <xf numFmtId="0" fontId="8" fillId="0" borderId="35" xfId="0" applyFont="1" applyBorder="1" applyAlignment="1">
      <alignment horizontal="center"/>
    </xf>
    <xf numFmtId="5" fontId="7" fillId="0" borderId="126" xfId="0" applyNumberFormat="1" applyFont="1" applyBorder="1" applyAlignment="1">
      <alignment horizontal="center"/>
    </xf>
    <xf numFmtId="5" fontId="74" fillId="0" borderId="126" xfId="0" applyNumberFormat="1" applyFont="1" applyBorder="1" applyAlignment="1">
      <alignment horizontal="center"/>
    </xf>
    <xf numFmtId="3" fontId="30" fillId="6" borderId="101" xfId="0" applyNumberFormat="1" applyFont="1" applyFill="1" applyBorder="1" applyAlignment="1" applyProtection="1">
      <alignment horizontal="center"/>
      <protection locked="0"/>
    </xf>
    <xf numFmtId="5" fontId="77" fillId="0" borderId="126" xfId="0" applyNumberFormat="1" applyFont="1" applyBorder="1" applyAlignment="1">
      <alignment horizontal="center"/>
    </xf>
    <xf numFmtId="0" fontId="30" fillId="4" borderId="33" xfId="0" applyFont="1" applyFill="1" applyBorder="1" applyAlignment="1" applyProtection="1">
      <alignment horizontal="left" indent="1"/>
      <protection locked="0"/>
    </xf>
    <xf numFmtId="10" fontId="17" fillId="4" borderId="34" xfId="0" applyNumberFormat="1" applyFont="1" applyFill="1" applyBorder="1" applyAlignment="1" applyProtection="1">
      <alignment horizontal="center"/>
      <protection locked="0"/>
    </xf>
    <xf numFmtId="0" fontId="30" fillId="6" borderId="127" xfId="0" applyFont="1" applyFill="1" applyBorder="1" applyAlignment="1" applyProtection="1">
      <alignment horizontal="center"/>
      <protection locked="0"/>
    </xf>
    <xf numFmtId="0" fontId="30" fillId="6" borderId="128" xfId="0" applyFont="1" applyFill="1" applyBorder="1" applyAlignment="1" applyProtection="1">
      <alignment horizontal="center"/>
      <protection locked="0"/>
    </xf>
    <xf numFmtId="0" fontId="30" fillId="6" borderId="129" xfId="0" applyFont="1" applyFill="1" applyBorder="1" applyAlignment="1" applyProtection="1">
      <alignment horizontal="center"/>
      <protection locked="0"/>
    </xf>
    <xf numFmtId="0" fontId="30" fillId="6" borderId="130" xfId="0" applyFont="1" applyFill="1" applyBorder="1" applyAlignment="1" applyProtection="1">
      <alignment horizontal="center"/>
      <protection locked="0"/>
    </xf>
    <xf numFmtId="10" fontId="7" fillId="10" borderId="0" xfId="0" applyNumberFormat="1" applyFont="1" applyFill="1"/>
    <xf numFmtId="0" fontId="77" fillId="0" borderId="0" xfId="2" applyFont="1"/>
    <xf numFmtId="5" fontId="30" fillId="0" borderId="20" xfId="1" applyNumberFormat="1" applyFont="1" applyBorder="1" applyAlignment="1">
      <alignment vertical="center"/>
    </xf>
    <xf numFmtId="0" fontId="78" fillId="0" borderId="0" xfId="2" applyFont="1"/>
    <xf numFmtId="0" fontId="75" fillId="0" borderId="0" xfId="2" applyFont="1"/>
    <xf numFmtId="0" fontId="30" fillId="0" borderId="31" xfId="5" applyFont="1" applyBorder="1" applyAlignment="1">
      <alignment horizontal="left"/>
    </xf>
    <xf numFmtId="0" fontId="30" fillId="0" borderId="0" xfId="0" applyFont="1" applyAlignment="1" applyProtection="1">
      <alignment horizontal="left" indent="3"/>
      <protection locked="0"/>
    </xf>
    <xf numFmtId="0" fontId="80" fillId="0" borderId="0" xfId="2" applyFont="1"/>
    <xf numFmtId="165" fontId="30" fillId="0" borderId="21" xfId="1" applyNumberFormat="1" applyFont="1" applyBorder="1"/>
    <xf numFmtId="9" fontId="30" fillId="0" borderId="34" xfId="0" applyNumberFormat="1" applyFont="1" applyBorder="1" applyAlignment="1">
      <alignment horizontal="center"/>
    </xf>
    <xf numFmtId="0" fontId="79" fillId="0" borderId="0" xfId="2" applyFont="1"/>
    <xf numFmtId="0" fontId="7" fillId="0" borderId="0" xfId="0" applyFont="1" applyAlignment="1">
      <alignment horizontal="left"/>
    </xf>
    <xf numFmtId="0" fontId="7" fillId="0" borderId="0" xfId="0" applyFont="1" applyAlignment="1">
      <alignment horizontal="left" vertical="center" wrapText="1"/>
    </xf>
    <xf numFmtId="49" fontId="7" fillId="0" borderId="0" xfId="0" applyNumberFormat="1" applyFont="1" applyAlignment="1">
      <alignment horizontal="left" vertical="top" wrapText="1"/>
    </xf>
    <xf numFmtId="0" fontId="59" fillId="8" borderId="0" xfId="0" applyFont="1" applyFill="1" applyAlignment="1">
      <alignment horizontal="center"/>
    </xf>
    <xf numFmtId="166" fontId="39" fillId="0" borderId="11" xfId="0" applyNumberFormat="1" applyFont="1" applyBorder="1" applyAlignment="1">
      <alignment horizontal="center"/>
    </xf>
    <xf numFmtId="166" fontId="39" fillId="0" borderId="12" xfId="0" applyNumberFormat="1" applyFont="1" applyBorder="1" applyAlignment="1">
      <alignment horizontal="center"/>
    </xf>
    <xf numFmtId="166" fontId="39" fillId="0" borderId="13" xfId="0" applyNumberFormat="1" applyFont="1" applyBorder="1" applyAlignment="1">
      <alignment horizontal="center"/>
    </xf>
    <xf numFmtId="44" fontId="31" fillId="4" borderId="17" xfId="6" applyNumberFormat="1" applyFill="1" applyBorder="1" applyAlignment="1">
      <alignment horizontal="center" vertical="center" wrapText="1"/>
    </xf>
    <xf numFmtId="44" fontId="31" fillId="4" borderId="19" xfId="6" applyNumberFormat="1" applyFill="1" applyBorder="1" applyAlignment="1">
      <alignment horizontal="center" vertical="center" wrapText="1"/>
    </xf>
    <xf numFmtId="0" fontId="30" fillId="0" borderId="0" xfId="0" applyFont="1" applyAlignment="1">
      <alignment horizontal="center"/>
    </xf>
    <xf numFmtId="0" fontId="30" fillId="0" borderId="17" xfId="0" applyFont="1" applyBorder="1" applyAlignment="1">
      <alignment horizontal="center"/>
    </xf>
    <xf numFmtId="166" fontId="30" fillId="5" borderId="66" xfId="0" applyNumberFormat="1" applyFont="1" applyFill="1" applyBorder="1" applyAlignment="1">
      <alignment horizontal="center"/>
    </xf>
    <xf numFmtId="166" fontId="39" fillId="5" borderId="118" xfId="0" applyNumberFormat="1" applyFont="1" applyFill="1" applyBorder="1" applyAlignment="1">
      <alignment horizontal="center"/>
    </xf>
    <xf numFmtId="166" fontId="39" fillId="5" borderId="82" xfId="0" applyNumberFormat="1" applyFont="1" applyFill="1" applyBorder="1" applyAlignment="1">
      <alignment horizontal="center"/>
    </xf>
    <xf numFmtId="166" fontId="39" fillId="5" borderId="119" xfId="0" applyNumberFormat="1" applyFont="1" applyFill="1" applyBorder="1" applyAlignment="1">
      <alignment horizontal="center"/>
    </xf>
    <xf numFmtId="44" fontId="30" fillId="0" borderId="120" xfId="1" applyFont="1" applyBorder="1" applyAlignment="1">
      <alignment horizontal="center" vertical="center"/>
    </xf>
    <xf numFmtId="44" fontId="68" fillId="0" borderId="100" xfId="0" applyNumberFormat="1" applyFont="1" applyBorder="1" applyAlignment="1">
      <alignment horizontal="center" vertical="center" wrapText="1"/>
    </xf>
    <xf numFmtId="44" fontId="68" fillId="0" borderId="103" xfId="0" applyNumberFormat="1" applyFont="1" applyBorder="1" applyAlignment="1">
      <alignment horizontal="center" vertical="center" wrapText="1"/>
    </xf>
    <xf numFmtId="44" fontId="68" fillId="0" borderId="108" xfId="0" applyNumberFormat="1" applyFont="1" applyBorder="1" applyAlignment="1">
      <alignment horizontal="center" vertical="center" wrapText="1"/>
    </xf>
    <xf numFmtId="166" fontId="68" fillId="0" borderId="30" xfId="1" applyNumberFormat="1" applyFont="1" applyFill="1" applyBorder="1" applyAlignment="1">
      <alignment horizontal="center" vertical="center"/>
    </xf>
    <xf numFmtId="166" fontId="68" fillId="0" borderId="23" xfId="1" applyNumberFormat="1" applyFont="1" applyFill="1" applyBorder="1" applyAlignment="1">
      <alignment horizontal="center" vertical="center"/>
    </xf>
    <xf numFmtId="166" fontId="68" fillId="0" borderId="0" xfId="1" applyNumberFormat="1" applyFont="1" applyFill="1" applyBorder="1" applyAlignment="1">
      <alignment horizontal="center" vertical="center"/>
    </xf>
    <xf numFmtId="166" fontId="68" fillId="0" borderId="17" xfId="1" applyNumberFormat="1" applyFont="1" applyFill="1" applyBorder="1" applyAlignment="1">
      <alignment horizontal="center" vertical="center"/>
    </xf>
    <xf numFmtId="166" fontId="68" fillId="0" borderId="22" xfId="1" applyNumberFormat="1" applyFont="1" applyFill="1" applyBorder="1" applyAlignment="1">
      <alignment horizontal="center" vertical="center"/>
    </xf>
    <xf numFmtId="166" fontId="68" fillId="0" borderId="19" xfId="1" applyNumberFormat="1" applyFont="1" applyFill="1" applyBorder="1" applyAlignment="1">
      <alignment horizontal="center" vertical="center"/>
    </xf>
    <xf numFmtId="0" fontId="30" fillId="0" borderId="96" xfId="0" applyFont="1" applyBorder="1" applyAlignment="1">
      <alignment horizontal="center"/>
    </xf>
    <xf numFmtId="0" fontId="30" fillId="0" borderId="97" xfId="0" applyFont="1" applyBorder="1" applyAlignment="1">
      <alignment horizontal="center"/>
    </xf>
    <xf numFmtId="0" fontId="30" fillId="5" borderId="98" xfId="0" applyFont="1" applyFill="1" applyBorder="1" applyAlignment="1">
      <alignment horizontal="center"/>
    </xf>
    <xf numFmtId="0" fontId="30" fillId="5" borderId="99" xfId="0" applyFont="1" applyFill="1" applyBorder="1" applyAlignment="1">
      <alignment horizontal="center"/>
    </xf>
    <xf numFmtId="0" fontId="30" fillId="0" borderId="70" xfId="0" applyFont="1" applyBorder="1" applyAlignment="1">
      <alignment horizontal="center"/>
    </xf>
    <xf numFmtId="0" fontId="30" fillId="0" borderId="66" xfId="0" applyFont="1" applyBorder="1" applyAlignment="1">
      <alignment horizontal="center"/>
    </xf>
    <xf numFmtId="0" fontId="30" fillId="5" borderId="101" xfId="0" applyFont="1" applyFill="1" applyBorder="1" applyAlignment="1">
      <alignment horizontal="center"/>
    </xf>
    <xf numFmtId="0" fontId="30" fillId="5" borderId="102" xfId="0" applyFont="1" applyFill="1" applyBorder="1" applyAlignment="1">
      <alignment horizontal="center"/>
    </xf>
    <xf numFmtId="0" fontId="30" fillId="5" borderId="3" xfId="0" applyFont="1" applyFill="1" applyBorder="1" applyAlignment="1" applyProtection="1">
      <alignment horizontal="left"/>
      <protection locked="0"/>
    </xf>
    <xf numFmtId="0" fontId="30" fillId="5" borderId="0" xfId="0" applyFont="1" applyFill="1" applyAlignment="1" applyProtection="1">
      <alignment horizontal="left"/>
      <protection locked="0"/>
    </xf>
    <xf numFmtId="0" fontId="30" fillId="0" borderId="14" xfId="0" applyFont="1" applyBorder="1" applyAlignment="1">
      <alignment horizontal="left"/>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3"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10" xfId="0" applyFont="1" applyBorder="1" applyAlignment="1">
      <alignment horizontal="center" vertical="center"/>
    </xf>
    <xf numFmtId="0" fontId="30" fillId="5" borderId="3" xfId="0" applyFont="1" applyFill="1" applyBorder="1" applyAlignment="1" applyProtection="1">
      <alignment horizontal="center" vertical="center"/>
      <protection locked="0"/>
    </xf>
    <xf numFmtId="0" fontId="30" fillId="5" borderId="0" xfId="0" applyFont="1" applyFill="1" applyAlignment="1" applyProtection="1">
      <alignment horizontal="center" vertical="center"/>
      <protection locked="0"/>
    </xf>
    <xf numFmtId="0" fontId="30" fillId="10" borderId="33" xfId="0" applyFont="1" applyFill="1" applyBorder="1" applyAlignment="1">
      <alignment horizontal="left" vertical="center"/>
    </xf>
    <xf numFmtId="0" fontId="30" fillId="10" borderId="21" xfId="0" applyFont="1" applyFill="1" applyBorder="1" applyAlignment="1">
      <alignment horizontal="left" vertical="center"/>
    </xf>
    <xf numFmtId="0" fontId="31" fillId="4" borderId="0" xfId="6" applyFill="1" applyBorder="1" applyAlignment="1">
      <alignment horizontal="center" vertical="center" wrapText="1"/>
    </xf>
    <xf numFmtId="0" fontId="31" fillId="4" borderId="17" xfId="6" applyFill="1" applyBorder="1" applyAlignment="1">
      <alignment horizontal="center" vertical="center" wrapText="1"/>
    </xf>
    <xf numFmtId="0" fontId="31" fillId="4" borderId="22" xfId="6" applyFill="1" applyBorder="1" applyAlignment="1">
      <alignment horizontal="center" vertical="center" wrapText="1"/>
    </xf>
    <xf numFmtId="0" fontId="31" fillId="4" borderId="19" xfId="6" applyFill="1" applyBorder="1" applyAlignment="1">
      <alignment horizontal="center" vertical="center" wrapText="1"/>
    </xf>
    <xf numFmtId="0" fontId="30" fillId="4" borderId="33" xfId="0" applyFont="1" applyFill="1" applyBorder="1" applyAlignment="1">
      <alignment horizontal="left" vertical="center"/>
    </xf>
    <xf numFmtId="0" fontId="30" fillId="4" borderId="34" xfId="0" applyFont="1" applyFill="1" applyBorder="1" applyAlignment="1">
      <alignment horizontal="left" vertical="center"/>
    </xf>
    <xf numFmtId="0" fontId="30" fillId="4" borderId="21" xfId="0" applyFont="1" applyFill="1" applyBorder="1" applyAlignment="1">
      <alignment horizontal="left"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165" fontId="30" fillId="15" borderId="15" xfId="1" applyNumberFormat="1" applyFont="1" applyFill="1" applyBorder="1" applyAlignment="1">
      <alignment horizontal="left" vertical="top" wrapText="1"/>
    </xf>
    <xf numFmtId="165" fontId="30" fillId="15" borderId="16" xfId="1" applyNumberFormat="1" applyFont="1" applyFill="1" applyBorder="1" applyAlignment="1">
      <alignment horizontal="left" vertical="top" wrapText="1"/>
    </xf>
    <xf numFmtId="165" fontId="30" fillId="15" borderId="18" xfId="1" applyNumberFormat="1" applyFont="1" applyFill="1" applyBorder="1" applyAlignment="1">
      <alignment horizontal="left" vertical="top" wrapText="1"/>
    </xf>
    <xf numFmtId="0" fontId="72" fillId="0" borderId="31" xfId="2" applyFont="1" applyBorder="1" applyAlignment="1">
      <alignment horizontal="left" wrapText="1"/>
    </xf>
    <xf numFmtId="0" fontId="72" fillId="0" borderId="17" xfId="2" applyFont="1" applyBorder="1" applyAlignment="1">
      <alignment horizontal="left" wrapText="1"/>
    </xf>
    <xf numFmtId="0" fontId="72" fillId="0" borderId="24" xfId="2" applyFont="1" applyBorder="1" applyAlignment="1">
      <alignment horizontal="left" wrapText="1"/>
    </xf>
    <xf numFmtId="0" fontId="72" fillId="0" borderId="19" xfId="2" applyFont="1" applyBorder="1" applyAlignment="1">
      <alignment horizontal="left" wrapText="1"/>
    </xf>
    <xf numFmtId="166" fontId="30" fillId="5" borderId="0" xfId="1" applyNumberFormat="1" applyFont="1" applyFill="1" applyBorder="1" applyAlignment="1">
      <alignment horizontal="center"/>
    </xf>
    <xf numFmtId="0" fontId="30" fillId="0" borderId="104" xfId="5" applyFont="1" applyBorder="1" applyAlignment="1">
      <alignment horizontal="center"/>
    </xf>
    <xf numFmtId="0" fontId="30" fillId="0" borderId="105" xfId="5" applyFont="1" applyBorder="1" applyAlignment="1">
      <alignment horizontal="center"/>
    </xf>
    <xf numFmtId="44" fontId="30" fillId="5" borderId="106" xfId="1" applyFont="1" applyFill="1" applyBorder="1" applyAlignment="1">
      <alignment horizontal="center"/>
    </xf>
    <xf numFmtId="44" fontId="30" fillId="5" borderId="107" xfId="1" applyFont="1" applyFill="1" applyBorder="1" applyAlignment="1">
      <alignment horizontal="center"/>
    </xf>
    <xf numFmtId="166" fontId="39" fillId="0" borderId="109" xfId="0" applyNumberFormat="1" applyFont="1" applyBorder="1" applyAlignment="1">
      <alignment horizontal="center"/>
    </xf>
    <xf numFmtId="0" fontId="21" fillId="0" borderId="31" xfId="6" applyFont="1" applyBorder="1" applyAlignment="1">
      <alignment horizontal="left"/>
    </xf>
    <xf numFmtId="0" fontId="21" fillId="0" borderId="0" xfId="6" applyFont="1" applyAlignment="1">
      <alignment horizontal="left"/>
    </xf>
    <xf numFmtId="0" fontId="21" fillId="4" borderId="33" xfId="0" applyFont="1" applyFill="1" applyBorder="1" applyAlignment="1">
      <alignment horizontal="center" vertical="center"/>
    </xf>
    <xf numFmtId="0" fontId="21" fillId="4" borderId="34" xfId="0" applyFont="1" applyFill="1" applyBorder="1" applyAlignment="1">
      <alignment horizontal="center" vertical="center"/>
    </xf>
    <xf numFmtId="0" fontId="21" fillId="4" borderId="21" xfId="0" applyFont="1" applyFill="1" applyBorder="1" applyAlignment="1">
      <alignment horizontal="center" vertical="center"/>
    </xf>
    <xf numFmtId="0" fontId="21" fillId="0" borderId="33" xfId="0" applyFont="1" applyBorder="1" applyAlignment="1">
      <alignment horizontal="right" vertical="center"/>
    </xf>
    <xf numFmtId="0" fontId="21" fillId="0" borderId="34" xfId="0" applyFont="1" applyBorder="1" applyAlignment="1">
      <alignment horizontal="right" vertical="center"/>
    </xf>
    <xf numFmtId="0" fontId="21" fillId="0" borderId="21" xfId="0" applyFont="1" applyBorder="1" applyAlignment="1">
      <alignment horizontal="right" vertical="center"/>
    </xf>
    <xf numFmtId="0" fontId="21" fillId="0" borderId="57" xfId="0" applyFont="1" applyBorder="1" applyAlignment="1">
      <alignment horizontal="right" vertical="center"/>
    </xf>
    <xf numFmtId="0" fontId="23" fillId="0" borderId="33" xfId="0" applyFont="1" applyBorder="1" applyAlignment="1">
      <alignment horizontal="right"/>
    </xf>
    <xf numFmtId="0" fontId="23" fillId="0" borderId="34" xfId="0" applyFont="1" applyBorder="1" applyAlignment="1">
      <alignment horizontal="right"/>
    </xf>
    <xf numFmtId="0" fontId="23" fillId="0" borderId="21" xfId="0" applyFont="1" applyBorder="1" applyAlignment="1">
      <alignment horizontal="right"/>
    </xf>
    <xf numFmtId="0" fontId="16" fillId="0" borderId="25"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23"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17" fillId="4" borderId="33" xfId="0" applyFont="1" applyFill="1" applyBorder="1" applyAlignment="1" applyProtection="1">
      <alignment horizontal="right"/>
      <protection locked="0"/>
    </xf>
    <xf numFmtId="0" fontId="17" fillId="4" borderId="21" xfId="0" applyFont="1" applyFill="1" applyBorder="1" applyAlignment="1" applyProtection="1">
      <alignment horizontal="right"/>
      <protection locked="0"/>
    </xf>
    <xf numFmtId="0" fontId="26" fillId="0" borderId="0" xfId="0" applyFont="1" applyProtection="1">
      <protection locked="0"/>
    </xf>
    <xf numFmtId="0" fontId="53" fillId="0" borderId="25" xfId="0" applyFont="1" applyBorder="1" applyProtection="1">
      <protection locked="0"/>
    </xf>
    <xf numFmtId="0" fontId="53" fillId="0" borderId="30" xfId="0" applyFont="1" applyBorder="1" applyProtection="1">
      <protection locked="0"/>
    </xf>
    <xf numFmtId="0" fontId="53" fillId="0" borderId="31" xfId="0" applyFont="1" applyBorder="1" applyProtection="1">
      <protection locked="0"/>
    </xf>
    <xf numFmtId="0" fontId="53" fillId="0" borderId="0" xfId="0" applyFont="1" applyProtection="1">
      <protection locked="0"/>
    </xf>
    <xf numFmtId="0" fontId="53" fillId="0" borderId="24" xfId="0" applyFont="1" applyBorder="1" applyProtection="1">
      <protection locked="0"/>
    </xf>
    <xf numFmtId="0" fontId="53" fillId="0" borderId="22" xfId="0" applyFont="1" applyBorder="1" applyProtection="1">
      <protection locked="0"/>
    </xf>
    <xf numFmtId="0" fontId="39" fillId="0" borderId="34" xfId="0" applyFont="1" applyBorder="1" applyAlignment="1" applyProtection="1">
      <alignment horizontal="center"/>
      <protection locked="0"/>
    </xf>
    <xf numFmtId="0" fontId="39" fillId="0" borderId="21" xfId="0" applyFont="1" applyBorder="1" applyAlignment="1" applyProtection="1">
      <alignment horizontal="center"/>
      <protection locked="0"/>
    </xf>
    <xf numFmtId="0" fontId="26" fillId="0" borderId="15" xfId="0" applyFont="1" applyBorder="1" applyAlignment="1">
      <alignment horizontal="center" vertical="center"/>
    </xf>
    <xf numFmtId="0" fontId="26" fillId="0" borderId="18" xfId="0" applyFont="1" applyBorder="1" applyAlignment="1">
      <alignment horizontal="center" vertical="center"/>
    </xf>
    <xf numFmtId="0" fontId="26" fillId="6" borderId="0" xfId="0" applyFont="1" applyFill="1" applyAlignment="1">
      <alignment horizontal="left"/>
    </xf>
    <xf numFmtId="166" fontId="26" fillId="0" borderId="33" xfId="0" applyNumberFormat="1" applyFont="1" applyBorder="1" applyAlignment="1">
      <alignment horizontal="right" indent="1"/>
    </xf>
    <xf numFmtId="166" fontId="26" fillId="0" borderId="21" xfId="0" applyNumberFormat="1" applyFont="1" applyBorder="1" applyAlignment="1">
      <alignment horizontal="right" indent="1"/>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6" fillId="4" borderId="15" xfId="0" applyFont="1" applyFill="1" applyBorder="1" applyAlignment="1">
      <alignment horizontal="center" vertical="top"/>
    </xf>
    <xf numFmtId="0" fontId="26" fillId="4" borderId="18" xfId="0" applyFont="1" applyFill="1" applyBorder="1" applyAlignment="1">
      <alignment horizontal="center" vertical="top"/>
    </xf>
    <xf numFmtId="0" fontId="26"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26" fillId="5" borderId="33" xfId="0" applyFont="1" applyFill="1" applyBorder="1" applyAlignment="1">
      <alignment horizontal="left"/>
    </xf>
    <xf numFmtId="0" fontId="26" fillId="5" borderId="21" xfId="0" applyFont="1" applyFill="1" applyBorder="1" applyAlignment="1">
      <alignment horizontal="left"/>
    </xf>
    <xf numFmtId="0" fontId="26" fillId="0" borderId="25" xfId="6" applyFont="1" applyBorder="1" applyAlignment="1">
      <alignment horizontal="left"/>
    </xf>
    <xf numFmtId="0" fontId="26" fillId="0" borderId="30" xfId="6" applyFont="1" applyBorder="1" applyAlignment="1">
      <alignment horizontal="left"/>
    </xf>
    <xf numFmtId="0" fontId="26" fillId="0" borderId="0" xfId="6" applyFont="1" applyAlignment="1">
      <alignment horizontal="left"/>
    </xf>
    <xf numFmtId="0" fontId="8" fillId="0" borderId="30" xfId="0" applyFont="1" applyBorder="1" applyAlignment="1">
      <alignment horizontal="center" vertical="top" wrapText="1"/>
    </xf>
    <xf numFmtId="0" fontId="8" fillId="0" borderId="1" xfId="0" applyFont="1" applyBorder="1" applyAlignment="1">
      <alignment horizontal="center" vertical="top" wrapText="1"/>
    </xf>
    <xf numFmtId="0" fontId="8" fillId="11" borderId="33" xfId="0" applyFont="1" applyFill="1" applyBorder="1" applyAlignment="1">
      <alignment horizontal="center" vertical="top"/>
    </xf>
    <xf numFmtId="0" fontId="8" fillId="11" borderId="34" xfId="0" applyFont="1" applyFill="1" applyBorder="1" applyAlignment="1">
      <alignment horizontal="center" vertical="top"/>
    </xf>
    <xf numFmtId="0" fontId="8" fillId="11" borderId="21" xfId="0" applyFont="1" applyFill="1" applyBorder="1" applyAlignment="1">
      <alignment horizontal="center" vertical="top"/>
    </xf>
    <xf numFmtId="0" fontId="8" fillId="11" borderId="33" xfId="0" applyFont="1" applyFill="1" applyBorder="1" applyAlignment="1">
      <alignment horizontal="center" vertical="top" wrapText="1"/>
    </xf>
    <xf numFmtId="0" fontId="8" fillId="11" borderId="34" xfId="0" applyFont="1" applyFill="1" applyBorder="1" applyAlignment="1">
      <alignment horizontal="center" vertical="top" wrapText="1"/>
    </xf>
    <xf numFmtId="0" fontId="8" fillId="11" borderId="21" xfId="0" applyFont="1" applyFill="1" applyBorder="1" applyAlignment="1">
      <alignment horizontal="center" vertical="top" wrapText="1"/>
    </xf>
    <xf numFmtId="167" fontId="8" fillId="11" borderId="33" xfId="0" applyNumberFormat="1" applyFont="1" applyFill="1" applyBorder="1" applyAlignment="1">
      <alignment horizontal="center" vertical="top"/>
    </xf>
    <xf numFmtId="167" fontId="8" fillId="11" borderId="34" xfId="0" applyNumberFormat="1" applyFont="1" applyFill="1" applyBorder="1" applyAlignment="1">
      <alignment horizontal="center" vertical="top"/>
    </xf>
    <xf numFmtId="167" fontId="8" fillId="11" borderId="21" xfId="0" applyNumberFormat="1" applyFont="1" applyFill="1" applyBorder="1" applyAlignment="1">
      <alignment horizontal="center" vertical="top"/>
    </xf>
    <xf numFmtId="0" fontId="8" fillId="0" borderId="23" xfId="0" applyFont="1" applyBorder="1" applyAlignment="1">
      <alignment horizontal="center" vertical="top" wrapText="1"/>
    </xf>
    <xf numFmtId="0" fontId="8" fillId="0" borderId="115" xfId="0" applyFont="1" applyBorder="1" applyAlignment="1">
      <alignment horizontal="center" vertical="top" wrapText="1"/>
    </xf>
    <xf numFmtId="3" fontId="8" fillId="0" borderId="15" xfId="0" applyNumberFormat="1" applyFont="1" applyBorder="1" applyAlignment="1">
      <alignment horizontal="center" wrapText="1"/>
    </xf>
    <xf numFmtId="3" fontId="8" fillId="0" borderId="18" xfId="0" applyNumberFormat="1" applyFont="1" applyBorder="1" applyAlignment="1">
      <alignment horizont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3" fontId="8" fillId="0" borderId="30" xfId="0" applyNumberFormat="1" applyFont="1" applyBorder="1" applyAlignment="1">
      <alignment horizontal="center" vertical="top" wrapText="1"/>
    </xf>
    <xf numFmtId="3" fontId="8" fillId="0" borderId="1" xfId="0" applyNumberFormat="1" applyFont="1" applyBorder="1" applyAlignment="1">
      <alignment horizontal="center" vertical="top" wrapText="1"/>
    </xf>
    <xf numFmtId="0" fontId="8" fillId="10" borderId="0" xfId="2" applyFont="1" applyFill="1" applyAlignment="1">
      <alignment horizontal="center"/>
    </xf>
    <xf numFmtId="0" fontId="8" fillId="4" borderId="0" xfId="2" applyFont="1" applyFill="1" applyAlignment="1">
      <alignment horizontal="left" vertical="center" wrapText="1"/>
    </xf>
    <xf numFmtId="0" fontId="24" fillId="11" borderId="25" xfId="2" applyFont="1" applyFill="1" applyBorder="1" applyAlignment="1">
      <alignment horizontal="center" vertical="center" wrapText="1"/>
    </xf>
    <xf numFmtId="0" fontId="24" fillId="11" borderId="30" xfId="2" applyFont="1" applyFill="1" applyBorder="1" applyAlignment="1">
      <alignment horizontal="center" vertical="center" wrapText="1"/>
    </xf>
    <xf numFmtId="0" fontId="24" fillId="11" borderId="23" xfId="2" applyFont="1" applyFill="1" applyBorder="1" applyAlignment="1">
      <alignment horizontal="center" vertical="center" wrapText="1"/>
    </xf>
    <xf numFmtId="0" fontId="24" fillId="11" borderId="31" xfId="2" applyFont="1" applyFill="1" applyBorder="1" applyAlignment="1">
      <alignment horizontal="center" vertical="center" wrapText="1"/>
    </xf>
    <xf numFmtId="0" fontId="24" fillId="11" borderId="0" xfId="2" applyFont="1" applyFill="1" applyAlignment="1">
      <alignment horizontal="center" vertical="center" wrapText="1"/>
    </xf>
    <xf numFmtId="0" fontId="24" fillId="11" borderId="17" xfId="2" applyFont="1" applyFill="1" applyBorder="1" applyAlignment="1">
      <alignment horizontal="center" vertical="center" wrapText="1"/>
    </xf>
    <xf numFmtId="0" fontId="24" fillId="11" borderId="24" xfId="2" applyFont="1" applyFill="1" applyBorder="1" applyAlignment="1">
      <alignment horizontal="center" vertical="center" wrapText="1"/>
    </xf>
    <xf numFmtId="0" fontId="24" fillId="11" borderId="22" xfId="2" applyFont="1" applyFill="1" applyBorder="1" applyAlignment="1">
      <alignment horizontal="center" vertical="center" wrapText="1"/>
    </xf>
    <xf numFmtId="0" fontId="24" fillId="11" borderId="19" xfId="2" applyFont="1" applyFill="1" applyBorder="1" applyAlignment="1">
      <alignment horizontal="center" vertical="center" wrapText="1"/>
    </xf>
    <xf numFmtId="168" fontId="6" fillId="0" borderId="14" xfId="7" applyNumberFormat="1" applyBorder="1" applyAlignment="1">
      <alignment horizontal="center"/>
    </xf>
    <xf numFmtId="167" fontId="6" fillId="0" borderId="14" xfId="7" applyNumberFormat="1" applyBorder="1" applyAlignment="1">
      <alignment horizontal="center"/>
    </xf>
    <xf numFmtId="167" fontId="6" fillId="0" borderId="39" xfId="7" applyNumberFormat="1" applyBorder="1" applyAlignment="1">
      <alignment horizontal="center"/>
    </xf>
    <xf numFmtId="0" fontId="8" fillId="11" borderId="33" xfId="2" applyFont="1" applyFill="1" applyBorder="1" applyAlignment="1">
      <alignment horizontal="center" wrapText="1"/>
    </xf>
    <xf numFmtId="0" fontId="8" fillId="11" borderId="34" xfId="2" applyFont="1" applyFill="1" applyBorder="1" applyAlignment="1">
      <alignment horizontal="center" wrapText="1"/>
    </xf>
    <xf numFmtId="0" fontId="8" fillId="11" borderId="21" xfId="2" applyFont="1" applyFill="1" applyBorder="1" applyAlignment="1">
      <alignment horizontal="center" wrapText="1"/>
    </xf>
    <xf numFmtId="0" fontId="8" fillId="11" borderId="33" xfId="2" applyFont="1" applyFill="1" applyBorder="1" applyAlignment="1">
      <alignment horizontal="center"/>
    </xf>
    <xf numFmtId="0" fontId="8" fillId="11" borderId="34" xfId="2" applyFont="1" applyFill="1" applyBorder="1" applyAlignment="1">
      <alignment horizontal="center"/>
    </xf>
    <xf numFmtId="0" fontId="8" fillId="11" borderId="21" xfId="2" applyFont="1" applyFill="1" applyBorder="1" applyAlignment="1">
      <alignment horizontal="center"/>
    </xf>
    <xf numFmtId="0" fontId="8" fillId="11" borderId="15" xfId="2" applyFont="1" applyFill="1" applyBorder="1" applyAlignment="1">
      <alignment horizontal="center"/>
    </xf>
    <xf numFmtId="0" fontId="8" fillId="11" borderId="16" xfId="2" applyFont="1" applyFill="1" applyBorder="1" applyAlignment="1">
      <alignment horizontal="center"/>
    </xf>
    <xf numFmtId="0" fontId="8" fillId="11" borderId="18" xfId="2" applyFont="1" applyFill="1" applyBorder="1" applyAlignment="1">
      <alignment horizontal="center"/>
    </xf>
    <xf numFmtId="0" fontId="8" fillId="14" borderId="25" xfId="2" applyFont="1" applyFill="1" applyBorder="1" applyAlignment="1">
      <alignment horizontal="center" wrapText="1"/>
    </xf>
    <xf numFmtId="0" fontId="8" fillId="14" borderId="30" xfId="2" applyFont="1" applyFill="1" applyBorder="1" applyAlignment="1">
      <alignment horizontal="center" wrapText="1"/>
    </xf>
    <xf numFmtId="0" fontId="8" fillId="14" borderId="23" xfId="2" applyFont="1" applyFill="1" applyBorder="1" applyAlignment="1">
      <alignment horizontal="center" wrapText="1"/>
    </xf>
    <xf numFmtId="0" fontId="2" fillId="16" borderId="0" xfId="17" applyFont="1" applyFill="1" applyAlignment="1">
      <alignment horizontal="left" vertical="top" wrapText="1"/>
    </xf>
    <xf numFmtId="0" fontId="2" fillId="16" borderId="17" xfId="17" applyFont="1" applyFill="1" applyBorder="1" applyAlignment="1">
      <alignment horizontal="left" vertical="top" wrapText="1"/>
    </xf>
    <xf numFmtId="0" fontId="8" fillId="11" borderId="15" xfId="2" applyFont="1" applyFill="1" applyBorder="1" applyAlignment="1">
      <alignment horizontal="left" wrapText="1"/>
    </xf>
    <xf numFmtId="0" fontId="8" fillId="11" borderId="16" xfId="2" applyFont="1" applyFill="1" applyBorder="1" applyAlignment="1">
      <alignment horizontal="left" wrapText="1"/>
    </xf>
    <xf numFmtId="0" fontId="8" fillId="14" borderId="33" xfId="2" applyFont="1" applyFill="1" applyBorder="1" applyAlignment="1">
      <alignment horizontal="center" wrapText="1"/>
    </xf>
    <xf numFmtId="0" fontId="8" fillId="14" borderId="34" xfId="2" applyFont="1" applyFill="1" applyBorder="1" applyAlignment="1">
      <alignment horizontal="center" wrapText="1"/>
    </xf>
    <xf numFmtId="0" fontId="8" fillId="4" borderId="15" xfId="2" applyFont="1" applyFill="1" applyBorder="1" applyAlignment="1">
      <alignment horizontal="center"/>
    </xf>
    <xf numFmtId="0" fontId="8" fillId="4" borderId="16" xfId="2" applyFont="1" applyFill="1" applyBorder="1" applyAlignment="1">
      <alignment horizontal="center"/>
    </xf>
    <xf numFmtId="0" fontId="8" fillId="4" borderId="18" xfId="2" applyFont="1" applyFill="1" applyBorder="1" applyAlignment="1">
      <alignment horizontal="center"/>
    </xf>
    <xf numFmtId="167" fontId="6" fillId="0" borderId="29" xfId="7" applyNumberFormat="1" applyBorder="1" applyAlignment="1">
      <alignment horizontal="center"/>
    </xf>
    <xf numFmtId="167" fontId="6" fillId="0" borderId="40" xfId="7" applyNumberFormat="1" applyBorder="1" applyAlignment="1">
      <alignment horizontal="center"/>
    </xf>
    <xf numFmtId="0" fontId="8" fillId="14" borderId="0" xfId="2" applyFont="1" applyFill="1" applyAlignment="1">
      <alignment horizontal="center" wrapText="1"/>
    </xf>
    <xf numFmtId="0" fontId="8" fillId="14" borderId="17" xfId="2" applyFont="1" applyFill="1" applyBorder="1" applyAlignment="1">
      <alignment horizontal="center" wrapText="1"/>
    </xf>
    <xf numFmtId="0" fontId="7" fillId="0" borderId="36" xfId="2" applyFont="1" applyBorder="1" applyAlignment="1">
      <alignment horizontal="center" vertical="center"/>
    </xf>
    <xf numFmtId="0" fontId="7" fillId="0" borderId="117" xfId="2" applyFont="1" applyBorder="1" applyAlignment="1">
      <alignment horizontal="center" vertical="center"/>
    </xf>
    <xf numFmtId="0" fontId="7" fillId="0" borderId="31" xfId="2" applyFont="1" applyBorder="1" applyAlignment="1">
      <alignment horizontal="center" vertical="center"/>
    </xf>
    <xf numFmtId="0" fontId="7" fillId="0" borderId="0" xfId="2" applyFont="1" applyAlignment="1">
      <alignment horizontal="center" vertical="center"/>
    </xf>
    <xf numFmtId="0" fontId="7" fillId="0" borderId="24" xfId="2" applyFont="1" applyBorder="1" applyAlignment="1">
      <alignment horizontal="center" vertical="center"/>
    </xf>
    <xf numFmtId="0" fontId="7" fillId="0" borderId="22" xfId="2" applyFont="1" applyBorder="1" applyAlignment="1">
      <alignment horizontal="center" vertical="center"/>
    </xf>
    <xf numFmtId="0" fontId="8" fillId="11" borderId="25" xfId="2" applyFont="1" applyFill="1" applyBorder="1" applyAlignment="1">
      <alignment horizontal="center" vertical="center"/>
    </xf>
    <xf numFmtId="0" fontId="8" fillId="11" borderId="30" xfId="2" applyFont="1" applyFill="1" applyBorder="1" applyAlignment="1">
      <alignment horizontal="center" vertical="center"/>
    </xf>
    <xf numFmtId="0" fontId="8" fillId="11" borderId="23" xfId="2" applyFont="1" applyFill="1" applyBorder="1" applyAlignment="1">
      <alignment horizontal="center" vertical="center"/>
    </xf>
    <xf numFmtId="0" fontId="8" fillId="11" borderId="24" xfId="2" applyFont="1" applyFill="1" applyBorder="1" applyAlignment="1">
      <alignment horizontal="center" vertical="center"/>
    </xf>
    <xf numFmtId="0" fontId="8" fillId="11" borderId="22" xfId="2" applyFont="1" applyFill="1" applyBorder="1" applyAlignment="1">
      <alignment horizontal="center" vertical="center"/>
    </xf>
    <xf numFmtId="0" fontId="8" fillId="11" borderId="19" xfId="2" applyFont="1" applyFill="1" applyBorder="1" applyAlignment="1">
      <alignment horizontal="center" vertical="center"/>
    </xf>
    <xf numFmtId="0" fontId="45" fillId="16" borderId="0" xfId="17" applyFont="1" applyFill="1" applyAlignment="1">
      <alignment horizontal="center"/>
    </xf>
    <xf numFmtId="0" fontId="3" fillId="16" borderId="0" xfId="17" applyFill="1" applyAlignment="1">
      <alignment horizontal="center"/>
    </xf>
    <xf numFmtId="0" fontId="8" fillId="12" borderId="46" xfId="2" applyFont="1" applyFill="1" applyBorder="1" applyAlignment="1">
      <alignment horizontal="center"/>
    </xf>
    <xf numFmtId="0" fontId="8" fillId="12" borderId="38" xfId="2" applyFont="1" applyFill="1" applyBorder="1" applyAlignment="1">
      <alignment horizontal="center"/>
    </xf>
  </cellXfs>
  <cellStyles count="21">
    <cellStyle name="Comma 2" xfId="15" xr:uid="{00000000-0005-0000-0000-000000000000}"/>
    <cellStyle name="Comma 3" xfId="19" xr:uid="{00000000-0005-0000-0000-000001000000}"/>
    <cellStyle name="Currency" xfId="1" builtinId="4"/>
    <cellStyle name="Currency 2" xfId="8" xr:uid="{00000000-0005-0000-0000-000003000000}"/>
    <cellStyle name="Currency 2 2" xfId="10" xr:uid="{00000000-0005-0000-0000-000004000000}"/>
    <cellStyle name="Currency 3" xfId="16" xr:uid="{00000000-0005-0000-0000-000005000000}"/>
    <cellStyle name="Currency 4" xfId="20" xr:uid="{00000000-0005-0000-0000-000006000000}"/>
    <cellStyle name="Hyperlink" xfId="6" builtinId="8"/>
    <cellStyle name="Normal" xfId="0" builtinId="0"/>
    <cellStyle name="Normal 2" xfId="2" xr:uid="{00000000-0005-0000-0000-000009000000}"/>
    <cellStyle name="Normal 2 2" xfId="5" xr:uid="{00000000-0005-0000-0000-00000A000000}"/>
    <cellStyle name="Normal 3" xfId="4" xr:uid="{00000000-0005-0000-0000-00000B000000}"/>
    <cellStyle name="Normal 4" xfId="7" xr:uid="{00000000-0005-0000-0000-00000C000000}"/>
    <cellStyle name="Normal 4 2" xfId="11" xr:uid="{00000000-0005-0000-0000-00000D000000}"/>
    <cellStyle name="Normal 5" xfId="13" xr:uid="{00000000-0005-0000-0000-00000E000000}"/>
    <cellStyle name="Normal 6" xfId="17" xr:uid="{00000000-0005-0000-0000-00000F000000}"/>
    <cellStyle name="Percent" xfId="3" builtinId="5"/>
    <cellStyle name="Percent 2" xfId="9" xr:uid="{00000000-0005-0000-0000-000011000000}"/>
    <cellStyle name="Percent 2 2" xfId="12" xr:uid="{00000000-0005-0000-0000-000012000000}"/>
    <cellStyle name="Percent 3" xfId="14" xr:uid="{00000000-0005-0000-0000-000013000000}"/>
    <cellStyle name="Percent 4" xfId="18" xr:uid="{00000000-0005-0000-0000-000014000000}"/>
  </cellStyles>
  <dxfs count="7">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lor rgb="FF0070C0"/>
      </font>
      <fill>
        <patternFill patternType="none">
          <bgColor auto="1"/>
        </patternFill>
      </fill>
    </dxf>
    <dxf>
      <font>
        <color rgb="FF9C0006"/>
      </font>
      <fill>
        <patternFill>
          <bgColor rgb="FFFFC7CE"/>
        </patternFill>
      </fill>
    </dxf>
  </dxfs>
  <tableStyles count="0" defaultTableStyle="TableStyleMedium9" defaultPivotStyle="PivotStyleLight16"/>
  <colors>
    <mruColors>
      <color rgb="FFFFFFB7"/>
      <color rgb="FFF9F9F9"/>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590550</xdr:colOff>
      <xdr:row>0</xdr:row>
      <xdr:rowOff>0</xdr:rowOff>
    </xdr:to>
    <xdr:pic>
      <xdr:nvPicPr>
        <xdr:cNvPr id="1025" name="Picture 1" descr="OSU">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0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0</xdr:row>
      <xdr:rowOff>0</xdr:rowOff>
    </xdr:from>
    <xdr:to>
      <xdr:col>16384</xdr:col>
      <xdr:colOff>0</xdr:colOff>
      <xdr:row>0</xdr:row>
      <xdr:rowOff>0</xdr:rowOff>
    </xdr:to>
    <xdr:grpSp>
      <xdr:nvGrpSpPr>
        <xdr:cNvPr id="1026" name="Group 2">
          <a:extLst>
            <a:ext uri="{FF2B5EF4-FFF2-40B4-BE49-F238E27FC236}">
              <a16:creationId xmlns:a16="http://schemas.microsoft.com/office/drawing/2014/main" id="{00000000-0008-0000-0000-000002040000}"/>
            </a:ext>
          </a:extLst>
        </xdr:cNvPr>
        <xdr:cNvGrpSpPr>
          <a:grpSpLocks/>
        </xdr:cNvGrpSpPr>
      </xdr:nvGrpSpPr>
      <xdr:grpSpPr bwMode="auto">
        <a:xfrm>
          <a:off x="-12700" y="0"/>
          <a:ext cx="10455252775" cy="0"/>
          <a:chOff x="-1376010224522" y="0"/>
          <a:chExt cx="757645378804" cy="0"/>
        </a:xfrm>
      </xdr:grpSpPr>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618364849981" y="0"/>
            <a:ext cx="4263"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1" i="0" strike="noStrike">
                <a:solidFill>
                  <a:srgbClr val="000000"/>
                </a:solidFill>
                <a:latin typeface="Times New Roman"/>
                <a:cs typeface="Times New Roman"/>
              </a:rPr>
              <a:t>Facilities Operations and Development</a:t>
            </a:r>
          </a:p>
        </xdr:txBody>
      </xdr:sp>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376010224522" y="0"/>
            <a:ext cx="3769"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900" b="0" i="0" strike="noStrike">
                <a:solidFill>
                  <a:srgbClr val="000000"/>
                </a:solidFill>
                <a:latin typeface="Times New Roman"/>
                <a:cs typeface="Times New Roman"/>
              </a:rPr>
              <a:t>Design and Construction</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400 Central Classroom Building</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2009 Millikin Road</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Columbus, OH 43210</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 </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Phone (614) 292-4458</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Fax (614) 292-2539</a:t>
            </a:r>
            <a:endParaRPr lang="en-US" sz="1000" b="0" i="0" strike="noStrike">
              <a:solidFill>
                <a:srgbClr val="000000"/>
              </a:solidFill>
              <a:latin typeface="Times"/>
            </a:endParaRPr>
          </a:p>
          <a:p>
            <a:pPr algn="l" rtl="0">
              <a:defRPr sz="1000"/>
            </a:pPr>
            <a:r>
              <a:rPr lang="en-US" sz="900" b="0" i="0" strike="noStrike">
                <a:solidFill>
                  <a:srgbClr val="000000"/>
                </a:solidFill>
                <a:latin typeface="Times New Roman"/>
                <a:cs typeface="Times New Roman"/>
              </a:rPr>
              <a:t>http://fod.osu.edu</a:t>
            </a:r>
          </a:p>
        </xdr:txBody>
      </xdr:sp>
    </xdr:grpSp>
    <xdr:clientData/>
  </xdr:twoCellAnchor>
  <xdr:twoCellAnchor>
    <xdr:from>
      <xdr:col>0</xdr:col>
      <xdr:colOff>0</xdr:colOff>
      <xdr:row>0</xdr:row>
      <xdr:rowOff>0</xdr:rowOff>
    </xdr:from>
    <xdr:to>
      <xdr:col>2</xdr:col>
      <xdr:colOff>66675</xdr:colOff>
      <xdr:row>0</xdr:row>
      <xdr:rowOff>0</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0" y="0"/>
          <a:ext cx="14763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US" sz="2200" b="1" i="0" strike="noStrike">
            <a:solidFill>
              <a:srgbClr val="000000"/>
            </a:solidFill>
            <a:latin typeface="Times New Roman"/>
            <a:cs typeface="Times New Roman"/>
          </a:endParaRPr>
        </a:p>
        <a:p>
          <a:pPr algn="l" rtl="0">
            <a:defRPr sz="1000"/>
          </a:pPr>
          <a:endParaRPr lang="en-US" sz="2200" b="1" i="0" strike="noStrike">
            <a:solidFill>
              <a:srgbClr val="000000"/>
            </a:solidFill>
            <a:latin typeface="Times New Roman"/>
            <a:cs typeface="Times New Roman"/>
          </a:endParaRPr>
        </a:p>
        <a:p>
          <a:pPr algn="l" rtl="0">
            <a:defRPr sz="1000"/>
          </a:pPr>
          <a:endParaRPr lang="en-US" sz="2200" b="1" i="0" strike="noStrike">
            <a:solidFill>
              <a:srgbClr val="000000"/>
            </a:solidFill>
            <a:latin typeface="Times New Roman"/>
            <a:cs typeface="Times New Roman"/>
          </a:endParaRPr>
        </a:p>
      </xdr:txBody>
    </xdr:sp>
    <xdr:clientData/>
  </xdr:twoCellAnchor>
  <xdr:twoCellAnchor editAs="oneCell">
    <xdr:from>
      <xdr:col>0</xdr:col>
      <xdr:colOff>333375</xdr:colOff>
      <xdr:row>22</xdr:row>
      <xdr:rowOff>173278</xdr:rowOff>
    </xdr:from>
    <xdr:to>
      <xdr:col>14</xdr:col>
      <xdr:colOff>736600</xdr:colOff>
      <xdr:row>26</xdr:row>
      <xdr:rowOff>175071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33375" y="5227878"/>
          <a:ext cx="9344025" cy="814593"/>
        </a:xfrm>
        <a:prstGeom prst="rect">
          <a:avLst/>
        </a:prstGeom>
      </xdr:spPr>
    </xdr:pic>
    <xdr:clientData/>
  </xdr:twoCellAnchor>
  <xdr:twoCellAnchor editAs="oneCell">
    <xdr:from>
      <xdr:col>0</xdr:col>
      <xdr:colOff>326818</xdr:colOff>
      <xdr:row>28</xdr:row>
      <xdr:rowOff>52752</xdr:rowOff>
    </xdr:from>
    <xdr:to>
      <xdr:col>14</xdr:col>
      <xdr:colOff>711200</xdr:colOff>
      <xdr:row>35</xdr:row>
      <xdr:rowOff>167640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326818" y="6326552"/>
          <a:ext cx="9325182" cy="1537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9</xdr:row>
      <xdr:rowOff>95250</xdr:rowOff>
    </xdr:from>
    <xdr:to>
      <xdr:col>1</xdr:col>
      <xdr:colOff>371475</xdr:colOff>
      <xdr:row>9</xdr:row>
      <xdr:rowOff>95250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104775" y="2396490"/>
          <a:ext cx="89154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138</xdr:row>
      <xdr:rowOff>95250</xdr:rowOff>
    </xdr:from>
    <xdr:to>
      <xdr:col>1</xdr:col>
      <xdr:colOff>371475</xdr:colOff>
      <xdr:row>138</xdr:row>
      <xdr:rowOff>95250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104775" y="24563070"/>
          <a:ext cx="89154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60</xdr:row>
      <xdr:rowOff>95250</xdr:rowOff>
    </xdr:from>
    <xdr:to>
      <xdr:col>1</xdr:col>
      <xdr:colOff>371475</xdr:colOff>
      <xdr:row>60</xdr:row>
      <xdr:rowOff>95250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104775" y="10778490"/>
          <a:ext cx="891540" cy="0"/>
        </a:xfrm>
        <a:prstGeom prst="straightConnector1">
          <a:avLst/>
        </a:prstGeom>
        <a:ln>
          <a:solidFill>
            <a:schemeClr val="bg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647701</xdr:colOff>
      <xdr:row>0</xdr:row>
      <xdr:rowOff>54701</xdr:rowOff>
    </xdr:from>
    <xdr:ext cx="2938045" cy="429022"/>
    <xdr:pic>
      <xdr:nvPicPr>
        <xdr:cNvPr id="3" name="Picture 1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981451" y="54701"/>
          <a:ext cx="2938045" cy="429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228600</xdr:colOff>
          <xdr:row>2</xdr:row>
          <xdr:rowOff>161925</xdr:rowOff>
        </xdr:from>
        <xdr:to>
          <xdr:col>0</xdr:col>
          <xdr:colOff>1438275</xdr:colOff>
          <xdr:row>4</xdr:row>
          <xdr:rowOff>9525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2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Capital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2</xdr:row>
          <xdr:rowOff>142875</xdr:rowOff>
        </xdr:from>
        <xdr:to>
          <xdr:col>0</xdr:col>
          <xdr:colOff>2124075</xdr:colOff>
          <xdr:row>4</xdr:row>
          <xdr:rowOff>28575</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2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Capital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180975</xdr:rowOff>
        </xdr:from>
        <xdr:to>
          <xdr:col>2</xdr:col>
          <xdr:colOff>609600</xdr:colOff>
          <xdr:row>4</xdr:row>
          <xdr:rowOff>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2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College of Medicine Funds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xdr:col>
      <xdr:colOff>7258</xdr:colOff>
      <xdr:row>0</xdr:row>
      <xdr:rowOff>0</xdr:rowOff>
    </xdr:from>
    <xdr:ext cx="2938045" cy="429022"/>
    <xdr:pic>
      <xdr:nvPicPr>
        <xdr:cNvPr id="2" name="Picture 1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934858" y="0"/>
          <a:ext cx="2938045" cy="429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644236</xdr:colOff>
      <xdr:row>0</xdr:row>
      <xdr:rowOff>184068</xdr:rowOff>
    </xdr:from>
    <xdr:ext cx="2938045" cy="429022"/>
    <xdr:pic>
      <xdr:nvPicPr>
        <xdr:cNvPr id="2" name="Picture 1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18709" y="184068"/>
          <a:ext cx="2938045" cy="429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Thomas, Nathaniel" id="{FCB5D038-6B04-4053-B516-9E33CFA6FA09}" userId="S::thomas.2651@osu.edu::ac083afe-e6a9-4ce4-937d-68b25bf87e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32" dT="2020-10-07T14:20:05.56" personId="{FCB5D038-6B04-4053-B516-9E33CFA6FA09}" id="{7CF9765E-E5F1-4146-A3D2-D93F1E02AA5E}">
    <text>Expected costs during construction for PO work: Wireless Access Points, Public Safety, Construction Cameras, etc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C00000"/>
    <pageSetUpPr fitToPage="1"/>
  </sheetPr>
  <dimension ref="A1:L49"/>
  <sheetViews>
    <sheetView showGridLines="0" view="pageLayout" zoomScaleNormal="100" workbookViewId="0">
      <selection activeCell="K11" sqref="K11"/>
    </sheetView>
  </sheetViews>
  <sheetFormatPr defaultColWidth="9.140625" defaultRowHeight="15" x14ac:dyDescent="0.2"/>
  <cols>
    <col min="1" max="1" width="5.140625" style="79" customWidth="1"/>
    <col min="2" max="2" width="12" style="79" customWidth="1"/>
    <col min="3" max="3" width="11.42578125" style="79" customWidth="1"/>
    <col min="4" max="4" width="9.140625" style="79" customWidth="1"/>
    <col min="5" max="5" width="12" style="79" customWidth="1"/>
    <col min="6" max="7" width="9.140625" style="79"/>
    <col min="8" max="8" width="8.42578125" style="79" customWidth="1"/>
    <col min="9" max="10" width="9.140625" style="79" hidden="1" customWidth="1"/>
    <col min="11" max="11" width="16" style="79" customWidth="1"/>
    <col min="12" max="12" width="6.28515625" style="79" customWidth="1"/>
    <col min="13" max="14" width="9.140625" style="79"/>
    <col min="15" max="15" width="11" style="79" customWidth="1"/>
    <col min="16" max="16384" width="9.140625" style="79"/>
  </cols>
  <sheetData>
    <row r="1" spans="1:11" ht="15.6" customHeight="1" x14ac:dyDescent="0.2">
      <c r="A1" s="749" t="s">
        <v>390</v>
      </c>
      <c r="B1" s="47"/>
      <c r="C1" s="47"/>
      <c r="D1" s="47"/>
      <c r="E1" s="47"/>
      <c r="F1" s="47"/>
      <c r="G1" s="47"/>
      <c r="H1" s="47"/>
      <c r="I1" s="47"/>
      <c r="J1" s="47"/>
      <c r="K1" s="47"/>
    </row>
    <row r="2" spans="1:11" ht="86.1" customHeight="1" x14ac:dyDescent="0.2">
      <c r="A2" s="47"/>
      <c r="B2" s="842" t="s">
        <v>590</v>
      </c>
      <c r="C2" s="842"/>
      <c r="D2" s="842"/>
      <c r="E2" s="842"/>
      <c r="F2" s="842"/>
      <c r="G2" s="842"/>
      <c r="H2" s="842"/>
      <c r="I2" s="842"/>
      <c r="J2" s="842"/>
      <c r="K2" s="842"/>
    </row>
    <row r="3" spans="1:11" x14ac:dyDescent="0.2">
      <c r="A3" s="525" t="s">
        <v>104</v>
      </c>
      <c r="B3" s="526"/>
      <c r="C3" s="526"/>
      <c r="D3" s="526"/>
      <c r="E3" s="526"/>
      <c r="F3" s="526"/>
      <c r="G3" s="526"/>
      <c r="H3" s="526"/>
      <c r="I3" s="526"/>
      <c r="J3" s="526"/>
      <c r="K3" s="47"/>
    </row>
    <row r="4" spans="1:11" x14ac:dyDescent="0.2">
      <c r="A4" s="527">
        <v>1</v>
      </c>
      <c r="B4" s="47" t="s">
        <v>233</v>
      </c>
      <c r="C4" s="47"/>
      <c r="D4" s="47"/>
      <c r="E4" s="526"/>
      <c r="F4" s="526"/>
      <c r="G4" s="526"/>
      <c r="H4" s="526"/>
      <c r="I4" s="526"/>
      <c r="J4" s="526"/>
      <c r="K4" s="47"/>
    </row>
    <row r="5" spans="1:11" x14ac:dyDescent="0.2">
      <c r="A5" s="527"/>
      <c r="B5" s="528" t="s">
        <v>486</v>
      </c>
      <c r="C5" s="529"/>
      <c r="D5" s="529"/>
      <c r="E5" s="47"/>
      <c r="F5" s="47"/>
      <c r="G5" s="47"/>
      <c r="H5" s="47"/>
      <c r="I5" s="47"/>
      <c r="J5" s="47"/>
      <c r="K5" s="47"/>
    </row>
    <row r="6" spans="1:11" ht="5.25" customHeight="1" x14ac:dyDescent="0.2">
      <c r="A6" s="527"/>
      <c r="B6" s="47"/>
      <c r="C6" s="47"/>
      <c r="D6" s="47"/>
      <c r="E6" s="47"/>
      <c r="F6" s="47"/>
      <c r="G6" s="47"/>
      <c r="H6" s="47"/>
      <c r="I6" s="47"/>
      <c r="J6" s="47"/>
      <c r="K6" s="47"/>
    </row>
    <row r="7" spans="1:11" x14ac:dyDescent="0.2">
      <c r="A7" s="527">
        <v>2</v>
      </c>
      <c r="B7" s="47" t="s">
        <v>105</v>
      </c>
      <c r="C7" s="47"/>
      <c r="D7" s="47"/>
      <c r="E7" s="47"/>
      <c r="F7" s="47"/>
      <c r="G7" s="47"/>
      <c r="H7" s="47"/>
      <c r="I7" s="47"/>
      <c r="J7" s="47"/>
      <c r="K7" s="47"/>
    </row>
    <row r="8" spans="1:11" x14ac:dyDescent="0.2">
      <c r="A8" s="530" t="s">
        <v>89</v>
      </c>
      <c r="B8" s="531" t="s">
        <v>96</v>
      </c>
      <c r="C8" s="532"/>
      <c r="D8" s="532"/>
      <c r="E8" s="532"/>
      <c r="F8" s="532"/>
      <c r="G8" s="47"/>
      <c r="H8" s="47"/>
      <c r="I8" s="47"/>
      <c r="J8" s="47"/>
      <c r="K8" s="47"/>
    </row>
    <row r="9" spans="1:11" x14ac:dyDescent="0.2">
      <c r="A9" s="530" t="s">
        <v>90</v>
      </c>
      <c r="B9" s="533" t="s">
        <v>391</v>
      </c>
      <c r="C9" s="534"/>
      <c r="D9" s="534"/>
      <c r="E9" s="534"/>
      <c r="F9" s="534"/>
      <c r="G9" s="47"/>
      <c r="H9" s="47"/>
      <c r="I9" s="47"/>
      <c r="J9" s="47"/>
      <c r="K9" s="47"/>
    </row>
    <row r="10" spans="1:11" x14ac:dyDescent="0.2">
      <c r="A10" s="530"/>
      <c r="B10" s="792" t="s">
        <v>613</v>
      </c>
      <c r="C10" s="793"/>
      <c r="D10" s="793"/>
      <c r="E10" s="793"/>
      <c r="F10" s="793"/>
      <c r="G10" s="47"/>
      <c r="H10" s="47"/>
      <c r="I10" s="47"/>
      <c r="J10" s="47"/>
      <c r="K10" s="47"/>
    </row>
    <row r="11" spans="1:11" x14ac:dyDescent="0.2">
      <c r="A11" s="530" t="s">
        <v>90</v>
      </c>
      <c r="B11" s="535" t="s">
        <v>91</v>
      </c>
      <c r="C11" s="536"/>
      <c r="D11" s="536"/>
      <c r="E11" s="536"/>
      <c r="F11" s="536"/>
      <c r="G11" s="47"/>
      <c r="H11" s="47"/>
      <c r="I11" s="47"/>
      <c r="J11" s="47"/>
      <c r="K11" s="47"/>
    </row>
    <row r="12" spans="1:11" ht="6" customHeight="1" x14ac:dyDescent="0.2">
      <c r="A12" s="47"/>
      <c r="B12" s="47"/>
      <c r="C12" s="47"/>
      <c r="D12" s="47"/>
      <c r="E12" s="47"/>
      <c r="F12" s="47"/>
      <c r="G12" s="47"/>
      <c r="H12" s="47"/>
      <c r="I12" s="47"/>
      <c r="J12" s="47"/>
      <c r="K12" s="47"/>
    </row>
    <row r="13" spans="1:11" x14ac:dyDescent="0.2">
      <c r="A13" s="47" t="s">
        <v>106</v>
      </c>
      <c r="B13" s="47"/>
      <c r="C13" s="47"/>
      <c r="D13" s="47"/>
      <c r="E13" s="47"/>
      <c r="F13" s="47"/>
      <c r="G13" s="47"/>
      <c r="H13" s="47"/>
      <c r="I13" s="47"/>
      <c r="J13" s="47"/>
      <c r="K13" s="47"/>
    </row>
    <row r="14" spans="1:11" x14ac:dyDescent="0.2">
      <c r="A14" s="668">
        <v>1</v>
      </c>
      <c r="B14" s="668" t="s">
        <v>487</v>
      </c>
      <c r="C14" s="668"/>
      <c r="D14" s="668"/>
      <c r="E14" s="668"/>
      <c r="F14" s="668"/>
      <c r="G14" s="668"/>
      <c r="H14" s="668"/>
      <c r="I14" s="668"/>
      <c r="J14" s="668"/>
      <c r="K14" s="668"/>
    </row>
    <row r="15" spans="1:11" x14ac:dyDescent="0.2">
      <c r="A15" s="668"/>
      <c r="B15" s="668" t="s">
        <v>551</v>
      </c>
      <c r="C15" s="668"/>
      <c r="D15" s="668"/>
      <c r="E15" s="668"/>
      <c r="F15" s="668"/>
      <c r="G15" s="668"/>
      <c r="H15" s="668"/>
      <c r="I15" s="668"/>
      <c r="J15" s="668"/>
      <c r="K15" s="668"/>
    </row>
    <row r="16" spans="1:11" x14ac:dyDescent="0.2">
      <c r="A16" s="668"/>
      <c r="B16" s="668" t="s">
        <v>643</v>
      </c>
      <c r="C16" s="668"/>
      <c r="D16" s="668"/>
      <c r="E16" s="668"/>
      <c r="F16" s="668"/>
      <c r="G16" s="668"/>
      <c r="H16" s="668"/>
      <c r="I16" s="668"/>
      <c r="J16" s="668"/>
      <c r="K16" s="668"/>
    </row>
    <row r="17" spans="1:12" x14ac:dyDescent="0.2">
      <c r="A17" s="668"/>
      <c r="B17" s="794" t="s">
        <v>647</v>
      </c>
      <c r="C17" s="668"/>
      <c r="D17" s="668"/>
      <c r="E17" s="668"/>
      <c r="F17" s="668"/>
      <c r="G17" s="668"/>
      <c r="H17" s="668"/>
      <c r="I17" s="668"/>
      <c r="J17" s="668"/>
      <c r="K17" s="668"/>
    </row>
    <row r="18" spans="1:12" x14ac:dyDescent="0.2">
      <c r="A18" s="668"/>
      <c r="B18" s="794" t="s">
        <v>648</v>
      </c>
      <c r="C18" s="668"/>
      <c r="D18" s="668"/>
      <c r="E18" s="668"/>
      <c r="F18" s="668"/>
      <c r="G18" s="668"/>
      <c r="H18" s="668"/>
      <c r="I18" s="668"/>
      <c r="J18" s="668"/>
      <c r="K18" s="668"/>
    </row>
    <row r="19" spans="1:12" x14ac:dyDescent="0.2">
      <c r="A19" s="668"/>
      <c r="B19" s="668" t="s">
        <v>552</v>
      </c>
      <c r="C19" s="668"/>
      <c r="D19" s="668"/>
      <c r="E19" s="668"/>
      <c r="F19" s="668"/>
      <c r="G19" s="668"/>
      <c r="H19" s="668"/>
      <c r="I19" s="668"/>
      <c r="J19" s="668"/>
      <c r="K19" s="668"/>
    </row>
    <row r="20" spans="1:12" ht="15.75" customHeight="1" x14ac:dyDescent="0.2">
      <c r="A20" s="668">
        <v>2</v>
      </c>
      <c r="B20" s="841" t="s">
        <v>614</v>
      </c>
      <c r="C20" s="841"/>
      <c r="D20" s="841"/>
      <c r="E20" s="841"/>
      <c r="F20" s="841"/>
      <c r="G20" s="841"/>
      <c r="H20" s="841"/>
      <c r="I20" s="841"/>
      <c r="J20" s="841"/>
      <c r="K20" s="841"/>
    </row>
    <row r="21" spans="1:12" x14ac:dyDescent="0.2">
      <c r="A21" s="668"/>
      <c r="B21" s="841"/>
      <c r="C21" s="841"/>
      <c r="D21" s="841"/>
      <c r="E21" s="841"/>
      <c r="F21" s="841"/>
      <c r="G21" s="841"/>
      <c r="H21" s="841"/>
      <c r="I21" s="841"/>
      <c r="J21" s="841"/>
      <c r="K21" s="841"/>
    </row>
    <row r="22" spans="1:12" ht="15" customHeight="1" x14ac:dyDescent="0.2">
      <c r="A22" s="668">
        <v>3</v>
      </c>
      <c r="B22" s="841" t="s">
        <v>599</v>
      </c>
      <c r="C22" s="841"/>
      <c r="D22" s="841"/>
      <c r="E22" s="841"/>
      <c r="F22" s="841"/>
      <c r="G22" s="841"/>
      <c r="H22" s="841"/>
      <c r="I22" s="841"/>
      <c r="J22" s="841"/>
      <c r="K22" s="841"/>
    </row>
    <row r="23" spans="1:12" x14ac:dyDescent="0.2">
      <c r="A23" s="668"/>
      <c r="B23" s="841" t="s">
        <v>600</v>
      </c>
      <c r="C23" s="841"/>
      <c r="D23" s="841"/>
      <c r="E23" s="841"/>
      <c r="F23" s="841"/>
      <c r="G23" s="841"/>
      <c r="H23" s="841"/>
      <c r="I23" s="841"/>
      <c r="J23" s="841"/>
      <c r="K23" s="841"/>
    </row>
    <row r="28" spans="1:12" x14ac:dyDescent="0.2">
      <c r="B28" s="47" t="s">
        <v>601</v>
      </c>
      <c r="C28" s="779"/>
      <c r="D28" s="779"/>
      <c r="E28" s="779"/>
      <c r="F28" s="779"/>
      <c r="G28" s="779"/>
      <c r="H28" s="779"/>
      <c r="I28" s="779"/>
      <c r="J28" s="779"/>
      <c r="K28" s="779"/>
      <c r="L28" s="779"/>
    </row>
    <row r="29" spans="1:12" x14ac:dyDescent="0.2">
      <c r="I29" s="47"/>
      <c r="J29" s="47"/>
      <c r="K29" s="47"/>
    </row>
    <row r="30" spans="1:12" x14ac:dyDescent="0.2">
      <c r="I30" s="47"/>
      <c r="J30" s="47"/>
      <c r="K30" s="47"/>
    </row>
    <row r="31" spans="1:12" x14ac:dyDescent="0.2">
      <c r="I31" s="47"/>
      <c r="J31" s="47"/>
      <c r="K31" s="47"/>
    </row>
    <row r="32" spans="1:12" x14ac:dyDescent="0.2">
      <c r="I32" s="47"/>
      <c r="J32" s="47"/>
      <c r="K32" s="47"/>
    </row>
    <row r="33" spans="1:11" x14ac:dyDescent="0.2">
      <c r="I33" s="47"/>
      <c r="J33" s="47"/>
      <c r="K33" s="47"/>
    </row>
    <row r="34" spans="1:11" x14ac:dyDescent="0.2">
      <c r="I34" s="47"/>
      <c r="J34" s="47"/>
      <c r="K34" s="47"/>
    </row>
    <row r="35" spans="1:11" x14ac:dyDescent="0.2">
      <c r="I35" s="47"/>
      <c r="J35" s="47"/>
      <c r="K35" s="47"/>
    </row>
    <row r="36" spans="1:11" x14ac:dyDescent="0.2">
      <c r="I36" s="47"/>
      <c r="J36" s="47"/>
      <c r="K36" s="47"/>
    </row>
    <row r="37" spans="1:11" x14ac:dyDescent="0.2">
      <c r="B37" s="47" t="s">
        <v>602</v>
      </c>
    </row>
    <row r="38" spans="1:11" x14ac:dyDescent="0.2">
      <c r="A38" s="668">
        <v>4</v>
      </c>
      <c r="B38" s="795" t="s">
        <v>603</v>
      </c>
    </row>
    <row r="39" spans="1:11" x14ac:dyDescent="0.2">
      <c r="B39" s="47" t="s">
        <v>615</v>
      </c>
    </row>
    <row r="41" spans="1:11" x14ac:dyDescent="0.2">
      <c r="A41" s="47" t="s">
        <v>378</v>
      </c>
      <c r="B41" s="47"/>
      <c r="C41" s="47"/>
      <c r="D41" s="47"/>
      <c r="E41" s="47"/>
      <c r="F41" s="47"/>
      <c r="G41" s="47"/>
      <c r="H41" s="47"/>
    </row>
    <row r="42" spans="1:11" x14ac:dyDescent="0.2">
      <c r="A42" s="47"/>
      <c r="B42" s="840" t="s">
        <v>488</v>
      </c>
      <c r="C42" s="840"/>
      <c r="D42" s="840"/>
      <c r="E42" s="47" t="s">
        <v>553</v>
      </c>
      <c r="F42" s="47"/>
      <c r="G42" s="47"/>
      <c r="H42" s="47"/>
    </row>
    <row r="43" spans="1:11" x14ac:dyDescent="0.2">
      <c r="A43" s="47"/>
      <c r="B43" s="840" t="s">
        <v>379</v>
      </c>
      <c r="C43" s="840"/>
      <c r="D43" s="840"/>
      <c r="E43" s="47" t="s">
        <v>554</v>
      </c>
      <c r="F43" s="47"/>
      <c r="G43" s="47"/>
      <c r="H43" s="47"/>
    </row>
    <row r="44" spans="1:11" x14ac:dyDescent="0.2">
      <c r="A44" s="47"/>
      <c r="B44" s="840" t="s">
        <v>612</v>
      </c>
      <c r="C44" s="840"/>
      <c r="D44" s="840"/>
      <c r="E44" s="47" t="s">
        <v>489</v>
      </c>
      <c r="F44" s="47"/>
      <c r="G44" s="47"/>
      <c r="H44" s="47"/>
    </row>
    <row r="45" spans="1:11" x14ac:dyDescent="0.2">
      <c r="A45" s="47"/>
      <c r="B45" s="47" t="s">
        <v>603</v>
      </c>
      <c r="C45" s="47"/>
      <c r="D45" s="47"/>
      <c r="E45" s="47" t="s">
        <v>604</v>
      </c>
      <c r="F45" s="47"/>
      <c r="G45" s="47"/>
      <c r="H45" s="47"/>
    </row>
    <row r="46" spans="1:11" x14ac:dyDescent="0.2">
      <c r="A46" s="47"/>
      <c r="B46" s="840" t="s">
        <v>382</v>
      </c>
      <c r="C46" s="840"/>
      <c r="D46" s="840"/>
      <c r="E46" s="47" t="s">
        <v>385</v>
      </c>
      <c r="F46" s="47"/>
      <c r="G46" s="47"/>
      <c r="H46" s="47"/>
    </row>
    <row r="47" spans="1:11" x14ac:dyDescent="0.2">
      <c r="A47" s="47"/>
      <c r="B47" s="773" t="s">
        <v>380</v>
      </c>
      <c r="C47" s="773"/>
      <c r="D47" s="773"/>
      <c r="E47" s="47" t="s">
        <v>392</v>
      </c>
      <c r="F47" s="47"/>
      <c r="G47" s="47"/>
      <c r="H47" s="47"/>
    </row>
    <row r="48" spans="1:11" x14ac:dyDescent="0.2">
      <c r="A48" s="47"/>
      <c r="B48" s="773" t="s">
        <v>381</v>
      </c>
      <c r="C48" s="773"/>
      <c r="D48" s="773"/>
      <c r="E48" s="47" t="s">
        <v>384</v>
      </c>
      <c r="F48" s="47"/>
      <c r="G48" s="47"/>
      <c r="H48" s="47"/>
    </row>
    <row r="49" spans="2:5" x14ac:dyDescent="0.2">
      <c r="B49" s="773" t="s">
        <v>383</v>
      </c>
      <c r="C49" s="773"/>
      <c r="D49" s="773"/>
      <c r="E49" s="47" t="s">
        <v>386</v>
      </c>
    </row>
  </sheetData>
  <mergeCells count="8">
    <mergeCell ref="B46:D46"/>
    <mergeCell ref="B22:K22"/>
    <mergeCell ref="B23:K23"/>
    <mergeCell ref="B2:K2"/>
    <mergeCell ref="B20:K21"/>
    <mergeCell ref="B42:D42"/>
    <mergeCell ref="B43:D43"/>
    <mergeCell ref="B44:D44"/>
  </mergeCells>
  <phoneticPr fontId="0" type="noConversion"/>
  <pageMargins left="0.7" right="0.7" top="0.75" bottom="0.75" header="0.3" footer="0.3"/>
  <pageSetup scale="48" fitToHeight="0" orientation="portrait" r:id="rId1"/>
  <headerFooter>
    <oddHeader>&amp;L&amp;8Printed: &amp;D @ &amp;T&amp;R&amp;8Page &amp;P of &amp;N</oddHeader>
    <oddFooter>&amp;L&amp;8&amp;F&amp;C&amp;8&amp;A&amp;R&amp;8Budget Version 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7" tint="-0.499984740745262"/>
  </sheetPr>
  <dimension ref="A2:F44"/>
  <sheetViews>
    <sheetView zoomScaleNormal="100" workbookViewId="0">
      <selection activeCell="D29" sqref="D29"/>
    </sheetView>
  </sheetViews>
  <sheetFormatPr defaultColWidth="8.85546875" defaultRowHeight="12.75" x14ac:dyDescent="0.2"/>
  <cols>
    <col min="1" max="1" width="31.42578125" customWidth="1"/>
    <col min="2" max="2" width="1.7109375" customWidth="1"/>
    <col min="3" max="3" width="14" customWidth="1"/>
    <col min="5" max="5" width="1.7109375" customWidth="1"/>
    <col min="6" max="6" width="31.7109375" customWidth="1"/>
  </cols>
  <sheetData>
    <row r="2" spans="1:6" x14ac:dyDescent="0.2">
      <c r="A2" s="1" t="s">
        <v>6</v>
      </c>
      <c r="B2" s="1"/>
    </row>
    <row r="3" spans="1:6" x14ac:dyDescent="0.2">
      <c r="A3" t="s">
        <v>7</v>
      </c>
    </row>
    <row r="4" spans="1:6" x14ac:dyDescent="0.2">
      <c r="A4" t="s">
        <v>8</v>
      </c>
    </row>
    <row r="5" spans="1:6" x14ac:dyDescent="0.2">
      <c r="A5" t="s">
        <v>9</v>
      </c>
    </row>
    <row r="7" spans="1:6" x14ac:dyDescent="0.2">
      <c r="A7" s="12" t="s">
        <v>10</v>
      </c>
      <c r="B7" s="1"/>
      <c r="C7" s="17" t="s">
        <v>34</v>
      </c>
      <c r="D7" s="18"/>
      <c r="F7" s="1" t="s">
        <v>33</v>
      </c>
    </row>
    <row r="8" spans="1:6" x14ac:dyDescent="0.2">
      <c r="C8" s="2"/>
      <c r="D8" s="2"/>
    </row>
    <row r="9" spans="1:6" x14ac:dyDescent="0.2">
      <c r="A9" s="1" t="s">
        <v>11</v>
      </c>
      <c r="B9" s="1"/>
      <c r="C9" s="1"/>
      <c r="D9" s="2"/>
      <c r="F9" s="1"/>
    </row>
    <row r="10" spans="1:6" x14ac:dyDescent="0.2">
      <c r="A10" s="5"/>
      <c r="C10" s="6"/>
      <c r="D10" s="7"/>
    </row>
    <row r="11" spans="1:6" x14ac:dyDescent="0.2">
      <c r="A11" s="3" t="s">
        <v>12</v>
      </c>
      <c r="C11" s="11" t="s">
        <v>35</v>
      </c>
      <c r="D11" s="8">
        <v>0</v>
      </c>
      <c r="F11" t="s">
        <v>37</v>
      </c>
    </row>
    <row r="12" spans="1:6" x14ac:dyDescent="0.2">
      <c r="A12" s="3" t="s">
        <v>13</v>
      </c>
      <c r="C12" s="11"/>
      <c r="D12" s="8"/>
      <c r="F12" t="s">
        <v>38</v>
      </c>
    </row>
    <row r="13" spans="1:6" x14ac:dyDescent="0.2">
      <c r="A13" s="3" t="s">
        <v>14</v>
      </c>
      <c r="C13" s="11" t="s">
        <v>36</v>
      </c>
      <c r="D13" s="8">
        <v>5.0000000000000001E-3</v>
      </c>
    </row>
    <row r="14" spans="1:6" x14ac:dyDescent="0.2">
      <c r="A14" s="3" t="s">
        <v>15</v>
      </c>
      <c r="C14" s="9"/>
      <c r="D14" s="10"/>
    </row>
    <row r="15" spans="1:6" x14ac:dyDescent="0.2">
      <c r="A15" s="3" t="s">
        <v>16</v>
      </c>
    </row>
    <row r="16" spans="1:6" x14ac:dyDescent="0.2">
      <c r="A16" s="3" t="s">
        <v>17</v>
      </c>
    </row>
    <row r="17" spans="1:6" x14ac:dyDescent="0.2">
      <c r="A17" s="3" t="s">
        <v>18</v>
      </c>
    </row>
    <row r="18" spans="1:6" x14ac:dyDescent="0.2">
      <c r="A18" s="3" t="s">
        <v>19</v>
      </c>
    </row>
    <row r="19" spans="1:6" x14ac:dyDescent="0.2">
      <c r="A19" s="3" t="s">
        <v>20</v>
      </c>
    </row>
    <row r="20" spans="1:6" x14ac:dyDescent="0.2">
      <c r="A20" s="4" t="s">
        <v>21</v>
      </c>
    </row>
    <row r="21" spans="1:6" x14ac:dyDescent="0.2">
      <c r="A21" s="13"/>
    </row>
    <row r="23" spans="1:6" x14ac:dyDescent="0.2">
      <c r="A23" s="1" t="s">
        <v>32</v>
      </c>
      <c r="B23" s="1"/>
    </row>
    <row r="24" spans="1:6" x14ac:dyDescent="0.2">
      <c r="A24" s="5"/>
      <c r="C24" s="6"/>
      <c r="D24" s="7"/>
    </row>
    <row r="25" spans="1:6" x14ac:dyDescent="0.2">
      <c r="A25" s="3" t="s">
        <v>22</v>
      </c>
      <c r="C25" s="11" t="s">
        <v>39</v>
      </c>
      <c r="D25" s="8">
        <v>2.5000000000000001E-3</v>
      </c>
      <c r="F25" t="s">
        <v>40</v>
      </c>
    </row>
    <row r="26" spans="1:6" x14ac:dyDescent="0.2">
      <c r="A26" s="3" t="s">
        <v>23</v>
      </c>
      <c r="C26" s="9"/>
      <c r="D26" s="10"/>
    </row>
    <row r="27" spans="1:6" x14ac:dyDescent="0.2">
      <c r="A27" s="3" t="s">
        <v>24</v>
      </c>
    </row>
    <row r="28" spans="1:6" x14ac:dyDescent="0.2">
      <c r="A28" s="3" t="s">
        <v>25</v>
      </c>
    </row>
    <row r="29" spans="1:6" x14ac:dyDescent="0.2">
      <c r="A29" s="250" t="s">
        <v>118</v>
      </c>
    </row>
    <row r="30" spans="1:6" x14ac:dyDescent="0.2">
      <c r="A30" s="3" t="s">
        <v>26</v>
      </c>
    </row>
    <row r="31" spans="1:6" x14ac:dyDescent="0.2">
      <c r="A31" s="3" t="s">
        <v>27</v>
      </c>
    </row>
    <row r="32" spans="1:6" x14ac:dyDescent="0.2">
      <c r="A32" s="3" t="s">
        <v>28</v>
      </c>
    </row>
    <row r="33" spans="1:4" x14ac:dyDescent="0.2">
      <c r="A33" s="3" t="s">
        <v>29</v>
      </c>
    </row>
    <row r="34" spans="1:4" x14ac:dyDescent="0.2">
      <c r="A34" s="3" t="s">
        <v>30</v>
      </c>
    </row>
    <row r="35" spans="1:4" x14ac:dyDescent="0.2">
      <c r="A35" s="3" t="s">
        <v>31</v>
      </c>
    </row>
    <row r="36" spans="1:4" x14ac:dyDescent="0.2">
      <c r="A36" s="3" t="s">
        <v>46</v>
      </c>
    </row>
    <row r="37" spans="1:4" x14ac:dyDescent="0.2">
      <c r="A37" s="4" t="s">
        <v>21</v>
      </c>
    </row>
    <row r="38" spans="1:4" x14ac:dyDescent="0.2">
      <c r="A38" s="13"/>
    </row>
    <row r="40" spans="1:4" x14ac:dyDescent="0.2">
      <c r="A40" s="1" t="s">
        <v>41</v>
      </c>
    </row>
    <row r="41" spans="1:4" ht="8.1" customHeight="1" x14ac:dyDescent="0.2"/>
    <row r="42" spans="1:4" x14ac:dyDescent="0.2">
      <c r="A42" s="14" t="s">
        <v>42</v>
      </c>
      <c r="B42" s="15"/>
      <c r="C42" s="15"/>
      <c r="D42" s="16">
        <v>0.01</v>
      </c>
    </row>
    <row r="43" spans="1:4" ht="8.1" customHeight="1" x14ac:dyDescent="0.2"/>
    <row r="44" spans="1:4" x14ac:dyDescent="0.2">
      <c r="A44" s="14" t="s">
        <v>43</v>
      </c>
      <c r="B44" s="15"/>
      <c r="C44" s="15"/>
      <c r="D44" s="16">
        <v>5.0000000000000001E-3</v>
      </c>
    </row>
  </sheetData>
  <phoneticPr fontId="0" type="noConversion"/>
  <pageMargins left="0.25" right="0.39374999999999999" top="0.75" bottom="0.75" header="0.3" footer="0.3"/>
  <pageSetup scale="79" orientation="portrait" r:id="rId1"/>
  <headerFooter>
    <oddHeader>&amp;LPrinted  &amp;D  &amp;T&amp;R&amp;P</oddHeader>
    <oddFooter>&amp;L&amp;F&amp;C&amp;A&amp;RBudget Version 2016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B75E-F28D-4B64-9D21-8012FE88E47F}">
  <sheetPr codeName="Sheet1">
    <tabColor theme="9" tint="-0.249977111117893"/>
    <outlinePr summaryBelow="0"/>
    <pageSetUpPr fitToPage="1"/>
  </sheetPr>
  <dimension ref="A1:N275"/>
  <sheetViews>
    <sheetView tabSelected="1" zoomScaleNormal="100" workbookViewId="0">
      <pane ySplit="8" topLeftCell="A9" activePane="bottomLeft" state="frozen"/>
      <selection activeCell="C70" sqref="C70"/>
      <selection pane="bottomLeft" activeCell="C12" sqref="C12"/>
    </sheetView>
  </sheetViews>
  <sheetFormatPr defaultColWidth="9.140625" defaultRowHeight="15" outlineLevelRow="1" x14ac:dyDescent="0.2"/>
  <cols>
    <col min="1" max="1" width="9.140625" style="539"/>
    <col min="2" max="2" width="16" style="539" customWidth="1"/>
    <col min="3" max="3" width="28" style="540" customWidth="1"/>
    <col min="4" max="4" width="17" style="539" customWidth="1"/>
    <col min="5" max="5" width="24.85546875" style="541" customWidth="1"/>
    <col min="6" max="6" width="19.140625" style="539" bestFit="1" customWidth="1"/>
    <col min="7" max="7" width="25.42578125" style="542" bestFit="1" customWidth="1"/>
    <col min="8" max="8" width="25.140625" style="81" customWidth="1"/>
    <col min="9" max="9" width="34.42578125" style="433" customWidth="1"/>
    <col min="10" max="10" width="9.42578125" style="433" customWidth="1"/>
    <col min="11" max="11" width="40.28515625" style="433" bestFit="1" customWidth="1"/>
    <col min="12" max="12" width="24.28515625" style="433" bestFit="1" customWidth="1"/>
    <col min="13" max="13" width="18.85546875" style="433" bestFit="1" customWidth="1"/>
    <col min="14" max="14" width="8.28515625" style="433" bestFit="1" customWidth="1"/>
    <col min="15" max="16384" width="9.140625" style="433"/>
  </cols>
  <sheetData>
    <row r="1" spans="1:8" x14ac:dyDescent="0.2">
      <c r="A1" s="539" t="s">
        <v>490</v>
      </c>
    </row>
    <row r="4" spans="1:8" x14ac:dyDescent="0.2">
      <c r="A4" s="873" t="s">
        <v>237</v>
      </c>
      <c r="B4" s="874"/>
      <c r="C4" s="874"/>
      <c r="D4" s="874"/>
      <c r="E4" s="874"/>
      <c r="F4" s="874"/>
      <c r="G4" s="874"/>
      <c r="H4" s="874"/>
    </row>
    <row r="5" spans="1:8" x14ac:dyDescent="0.2">
      <c r="A5" s="873" t="s">
        <v>236</v>
      </c>
      <c r="B5" s="874"/>
      <c r="C5" s="874"/>
      <c r="D5" s="874"/>
      <c r="E5" s="874"/>
      <c r="F5" s="874"/>
      <c r="G5" s="874"/>
      <c r="H5" s="874"/>
    </row>
    <row r="6" spans="1:8" x14ac:dyDescent="0.2">
      <c r="A6" s="876" t="s">
        <v>491</v>
      </c>
      <c r="B6" s="877"/>
      <c r="C6" s="882"/>
      <c r="D6" s="883"/>
      <c r="E6" s="883"/>
      <c r="F6" s="883"/>
      <c r="G6" s="883"/>
      <c r="H6" s="883"/>
    </row>
    <row r="7" spans="1:8" x14ac:dyDescent="0.2">
      <c r="A7" s="878"/>
      <c r="B7" s="879"/>
      <c r="C7" s="882"/>
      <c r="D7" s="883"/>
      <c r="E7" s="883"/>
      <c r="F7" s="883"/>
      <c r="G7" s="883"/>
      <c r="H7" s="883"/>
    </row>
    <row r="8" spans="1:8" x14ac:dyDescent="0.2">
      <c r="A8" s="880"/>
      <c r="B8" s="881"/>
      <c r="C8" s="882"/>
      <c r="D8" s="883"/>
      <c r="E8" s="883"/>
      <c r="F8" s="883"/>
      <c r="G8" s="883"/>
      <c r="H8" s="883"/>
    </row>
    <row r="9" spans="1:8" x14ac:dyDescent="0.2">
      <c r="A9" s="875" t="s">
        <v>492</v>
      </c>
      <c r="B9" s="875"/>
      <c r="C9" s="543"/>
      <c r="D9" s="541"/>
      <c r="E9" s="539"/>
      <c r="F9" s="542"/>
      <c r="G9" s="544"/>
    </row>
    <row r="10" spans="1:8" ht="15.75" x14ac:dyDescent="0.25">
      <c r="A10" s="843" t="s">
        <v>493</v>
      </c>
      <c r="B10" s="843"/>
      <c r="C10" s="843"/>
      <c r="D10" s="843" t="s">
        <v>494</v>
      </c>
      <c r="E10" s="843"/>
      <c r="F10" s="843"/>
      <c r="G10" s="843"/>
      <c r="H10" s="843"/>
    </row>
    <row r="11" spans="1:8" ht="15.75" outlineLevel="1" thickBot="1" x14ac:dyDescent="0.25">
      <c r="A11" s="79"/>
      <c r="C11" s="539"/>
      <c r="E11" s="539"/>
      <c r="G11" s="544"/>
    </row>
    <row r="12" spans="1:8" ht="15.75" outlineLevel="1" thickBot="1" x14ac:dyDescent="0.25">
      <c r="A12" s="79"/>
      <c r="B12" s="545" t="s">
        <v>495</v>
      </c>
      <c r="C12" s="546" t="s">
        <v>635</v>
      </c>
      <c r="E12" s="539"/>
      <c r="G12" s="886" t="s">
        <v>506</v>
      </c>
      <c r="H12" s="887"/>
    </row>
    <row r="13" spans="1:8" ht="15.75" outlineLevel="1" thickBot="1" x14ac:dyDescent="0.25">
      <c r="A13" s="79"/>
      <c r="B13" s="547" t="s">
        <v>496</v>
      </c>
      <c r="C13" s="546" t="s">
        <v>226</v>
      </c>
      <c r="E13" s="444"/>
      <c r="G13" s="888"/>
      <c r="H13" s="889"/>
    </row>
    <row r="14" spans="1:8" ht="15.75" outlineLevel="1" thickBot="1" x14ac:dyDescent="0.25">
      <c r="A14" s="79"/>
      <c r="B14" s="547" t="s">
        <v>497</v>
      </c>
      <c r="C14" s="546" t="s">
        <v>479</v>
      </c>
      <c r="E14" s="444"/>
      <c r="G14" s="539"/>
      <c r="H14" s="444"/>
    </row>
    <row r="15" spans="1:8" ht="15.75" outlineLevel="1" thickBot="1" x14ac:dyDescent="0.25">
      <c r="A15" s="79"/>
      <c r="C15" s="539"/>
      <c r="D15" s="541"/>
      <c r="E15" s="539"/>
      <c r="F15" s="542"/>
      <c r="G15" s="544"/>
    </row>
    <row r="16" spans="1:8" ht="15.75" outlineLevel="1" thickBot="1" x14ac:dyDescent="0.25">
      <c r="A16" s="79"/>
      <c r="B16" s="890" t="s">
        <v>363</v>
      </c>
      <c r="C16" s="891"/>
      <c r="D16" s="891"/>
      <c r="E16" s="891"/>
      <c r="F16" s="891"/>
      <c r="G16" s="892"/>
      <c r="H16" s="831">
        <f>SUM(G17:G24)</f>
        <v>0</v>
      </c>
    </row>
    <row r="17" spans="1:8" outlineLevel="1" x14ac:dyDescent="0.2">
      <c r="A17" s="79"/>
      <c r="B17" s="549" t="s">
        <v>463</v>
      </c>
      <c r="C17" s="550"/>
      <c r="D17" s="551"/>
      <c r="E17" s="552"/>
      <c r="F17" s="551"/>
      <c r="G17" s="669">
        <v>0</v>
      </c>
      <c r="H17" s="895" t="s">
        <v>558</v>
      </c>
    </row>
    <row r="18" spans="1:8" outlineLevel="1" x14ac:dyDescent="0.2">
      <c r="A18" s="79"/>
      <c r="B18" s="553" t="s">
        <v>68</v>
      </c>
      <c r="C18" s="554"/>
      <c r="D18" s="554"/>
      <c r="E18" s="552"/>
      <c r="G18" s="559">
        <v>0</v>
      </c>
      <c r="H18" s="896"/>
    </row>
    <row r="19" spans="1:8" outlineLevel="1" x14ac:dyDescent="0.2">
      <c r="A19" s="79"/>
      <c r="B19" s="553" t="s">
        <v>582</v>
      </c>
      <c r="C19" s="748" t="s">
        <v>500</v>
      </c>
      <c r="D19" s="433"/>
      <c r="E19" s="554"/>
      <c r="G19" s="559">
        <f>IF(C19="None",0,IF(C19="Tag",MAX('Benchmark Cost Per SF'!R55:R78),IF(C19="PM",MAX('Benchmark Cost Per SF'!S55:S78),IF(C19="Both",MAX('Benchmark Cost Per SF'!T55:T78)))))*C9</f>
        <v>0</v>
      </c>
      <c r="H19" s="896"/>
    </row>
    <row r="20" spans="1:8" outlineLevel="1" x14ac:dyDescent="0.2">
      <c r="A20" s="79"/>
      <c r="B20" s="558" t="s">
        <v>21</v>
      </c>
      <c r="C20" s="554"/>
      <c r="D20" s="554"/>
      <c r="E20" s="552"/>
      <c r="F20" s="552"/>
      <c r="G20" s="559">
        <v>0</v>
      </c>
      <c r="H20" s="896"/>
    </row>
    <row r="21" spans="1:8" outlineLevel="1" x14ac:dyDescent="0.2">
      <c r="A21" s="79"/>
      <c r="B21" s="553" t="s">
        <v>21</v>
      </c>
      <c r="C21" s="554"/>
      <c r="D21" s="554"/>
      <c r="E21" s="552"/>
      <c r="F21" s="554"/>
      <c r="G21" s="559">
        <v>0</v>
      </c>
      <c r="H21" s="896"/>
    </row>
    <row r="22" spans="1:8" outlineLevel="1" x14ac:dyDescent="0.2">
      <c r="A22" s="79"/>
      <c r="B22" s="558" t="s">
        <v>21</v>
      </c>
      <c r="C22" s="554"/>
      <c r="D22" s="554"/>
      <c r="E22" s="552"/>
      <c r="F22" s="554"/>
      <c r="G22" s="559">
        <v>0</v>
      </c>
      <c r="H22" s="896"/>
    </row>
    <row r="23" spans="1:8" outlineLevel="1" x14ac:dyDescent="0.2">
      <c r="A23" s="79"/>
      <c r="B23" s="558" t="s">
        <v>235</v>
      </c>
      <c r="C23" s="554"/>
      <c r="D23" s="554"/>
      <c r="E23" s="552"/>
      <c r="F23" s="555">
        <f>IF(C12="D/B&lt;$200K",VLOOKUP(C13,IDIQFeeTbl,3,FALSE),VLOOKUP(C13,IDIQFeeTbl,2,FALSE))</f>
        <v>0.11</v>
      </c>
      <c r="G23" s="556">
        <f>F23*SUM(G17:G22)</f>
        <v>0</v>
      </c>
      <c r="H23" s="896"/>
    </row>
    <row r="24" spans="1:8" ht="15.75" outlineLevel="1" thickBot="1" x14ac:dyDescent="0.25">
      <c r="A24" s="79"/>
      <c r="B24" s="560" t="s">
        <v>234</v>
      </c>
      <c r="C24" s="561"/>
      <c r="D24" s="561"/>
      <c r="E24" s="562"/>
      <c r="F24" s="561"/>
      <c r="G24" s="563">
        <v>0</v>
      </c>
      <c r="H24" s="897"/>
    </row>
    <row r="25" spans="1:8" ht="15.75" outlineLevel="1" thickBot="1" x14ac:dyDescent="0.25">
      <c r="A25" s="79"/>
      <c r="B25" s="890" t="s">
        <v>422</v>
      </c>
      <c r="C25" s="891"/>
      <c r="D25" s="891"/>
      <c r="E25" s="891"/>
      <c r="F25" s="891"/>
      <c r="G25" s="892"/>
      <c r="H25" s="548">
        <f>SUM(G26:G30)</f>
        <v>0</v>
      </c>
    </row>
    <row r="26" spans="1:8" outlineLevel="1" x14ac:dyDescent="0.2">
      <c r="A26" s="79"/>
      <c r="B26" s="553" t="s">
        <v>423</v>
      </c>
      <c r="C26" s="564" t="s">
        <v>427</v>
      </c>
      <c r="D26" s="564"/>
      <c r="E26" s="552"/>
      <c r="G26" s="565">
        <v>0</v>
      </c>
      <c r="H26" s="557"/>
    </row>
    <row r="27" spans="1:8" outlineLevel="1" x14ac:dyDescent="0.2">
      <c r="A27" s="79"/>
      <c r="B27" s="558" t="s">
        <v>424</v>
      </c>
      <c r="C27" s="554" t="s">
        <v>95</v>
      </c>
      <c r="D27" s="554"/>
      <c r="E27" s="552"/>
      <c r="F27" s="552"/>
      <c r="G27" s="559">
        <v>0</v>
      </c>
      <c r="H27" s="557"/>
    </row>
    <row r="28" spans="1:8" outlineLevel="1" x14ac:dyDescent="0.2">
      <c r="A28" s="79"/>
      <c r="B28" s="558" t="s">
        <v>425</v>
      </c>
      <c r="C28" s="554" t="s">
        <v>70</v>
      </c>
      <c r="D28" s="554"/>
      <c r="E28" s="552"/>
      <c r="F28" s="552"/>
      <c r="G28" s="559">
        <v>0</v>
      </c>
      <c r="H28" s="557"/>
    </row>
    <row r="29" spans="1:8" outlineLevel="1" x14ac:dyDescent="0.2">
      <c r="A29" s="79"/>
      <c r="B29" s="560" t="s">
        <v>426</v>
      </c>
      <c r="C29" s="561" t="s">
        <v>428</v>
      </c>
      <c r="D29" s="561"/>
      <c r="E29" s="562"/>
      <c r="F29" s="562"/>
      <c r="G29" s="563">
        <v>0</v>
      </c>
      <c r="H29" s="557"/>
    </row>
    <row r="30" spans="1:8" ht="15.75" outlineLevel="1" thickBot="1" x14ac:dyDescent="0.25">
      <c r="A30" s="79"/>
      <c r="B30" s="560" t="s">
        <v>426</v>
      </c>
      <c r="C30" s="79" t="s">
        <v>72</v>
      </c>
      <c r="D30" s="79"/>
      <c r="E30" s="562"/>
      <c r="F30" s="562"/>
      <c r="G30" s="559">
        <v>0</v>
      </c>
      <c r="H30" s="557"/>
    </row>
    <row r="31" spans="1:8" ht="15.75" outlineLevel="1" thickBot="1" x14ac:dyDescent="0.25">
      <c r="A31" s="79"/>
      <c r="B31" s="890" t="s">
        <v>498</v>
      </c>
      <c r="C31" s="891"/>
      <c r="D31" s="891"/>
      <c r="E31" s="891"/>
      <c r="F31" s="891"/>
      <c r="G31" s="892"/>
      <c r="H31" s="548">
        <f>G32*E32</f>
        <v>0</v>
      </c>
    </row>
    <row r="32" spans="1:8" ht="15.75" outlineLevel="1" thickBot="1" x14ac:dyDescent="0.25">
      <c r="A32" s="79"/>
      <c r="B32" s="566" t="s">
        <v>430</v>
      </c>
      <c r="C32" s="444" t="s">
        <v>499</v>
      </c>
      <c r="E32" s="567">
        <f>C9</f>
        <v>0</v>
      </c>
      <c r="F32" s="568" t="s">
        <v>500</v>
      </c>
      <c r="G32" s="569">
        <f>IF(F32="High",3.5,IF(F32="Medium",2.5,IF(F32="Low",1.5,0)))</f>
        <v>0</v>
      </c>
      <c r="H32" s="557"/>
    </row>
    <row r="33" spans="1:13" ht="15.75" outlineLevel="1" thickBot="1" x14ac:dyDescent="0.25">
      <c r="A33" s="79"/>
      <c r="B33" s="890" t="s">
        <v>501</v>
      </c>
      <c r="C33" s="891"/>
      <c r="D33" s="891"/>
      <c r="E33" s="891"/>
      <c r="F33" s="891"/>
      <c r="G33" s="892"/>
      <c r="H33" s="570">
        <f>SUM(G34:G37)</f>
        <v>0</v>
      </c>
    </row>
    <row r="34" spans="1:13" outlineLevel="1" x14ac:dyDescent="0.2">
      <c r="A34" s="79"/>
      <c r="B34" s="571" t="s">
        <v>502</v>
      </c>
      <c r="C34" s="552" t="s">
        <v>503</v>
      </c>
      <c r="D34" s="572"/>
      <c r="E34" s="552"/>
      <c r="F34" s="573">
        <f>IF(C12="D/B&lt;$200K",0.3*'Fee Look Up Table'!D66,0)</f>
        <v>0</v>
      </c>
      <c r="G34" s="574">
        <f>F34*H16</f>
        <v>0</v>
      </c>
      <c r="H34" s="557"/>
      <c r="I34" s="539"/>
    </row>
    <row r="35" spans="1:13" outlineLevel="1" x14ac:dyDescent="0.2">
      <c r="A35" s="79"/>
      <c r="B35" s="571" t="str">
        <f>IF(C12="D/B &gt;$200k","AoR","A/E")</f>
        <v>A/E</v>
      </c>
      <c r="C35" s="552"/>
      <c r="D35" s="572"/>
      <c r="E35" s="552"/>
      <c r="F35" s="575">
        <f>IF(C12="D/B&lt;$200K",0.7*'Fee Look Up Table'!D66,VLOOKUP(C14,IDIQFeeTbl,4,FALSE))</f>
        <v>0</v>
      </c>
      <c r="G35" s="574">
        <f>F35*H16</f>
        <v>0</v>
      </c>
      <c r="H35" s="557"/>
    </row>
    <row r="36" spans="1:13" outlineLevel="1" x14ac:dyDescent="0.2">
      <c r="A36" s="79"/>
      <c r="B36" s="571" t="s">
        <v>397</v>
      </c>
      <c r="C36" s="552"/>
      <c r="D36" s="572"/>
      <c r="E36" s="552"/>
      <c r="F36" s="573">
        <v>0</v>
      </c>
      <c r="G36" s="574">
        <f>IF(OR(B35="AoR",B35="In-House"),0,F36*H16)</f>
        <v>0</v>
      </c>
      <c r="H36" s="557"/>
    </row>
    <row r="37" spans="1:13" ht="15.75" outlineLevel="1" thickBot="1" x14ac:dyDescent="0.25">
      <c r="A37" s="79"/>
      <c r="B37" s="576" t="s">
        <v>117</v>
      </c>
      <c r="C37" s="562"/>
      <c r="D37" s="577"/>
      <c r="E37" s="562"/>
      <c r="F37" s="578">
        <v>0</v>
      </c>
      <c r="G37" s="579">
        <f>IF(OR(B35="AoR",B35="In-House"),0,F37*H16)</f>
        <v>0</v>
      </c>
      <c r="H37" s="557"/>
    </row>
    <row r="38" spans="1:13" ht="15.75" outlineLevel="1" thickBot="1" x14ac:dyDescent="0.25">
      <c r="A38" s="79"/>
      <c r="B38" s="890" t="s">
        <v>94</v>
      </c>
      <c r="C38" s="891"/>
      <c r="D38" s="891"/>
      <c r="E38" s="891"/>
      <c r="F38" s="891"/>
      <c r="G38" s="892"/>
      <c r="H38" s="570">
        <f>G39</f>
        <v>0</v>
      </c>
    </row>
    <row r="39" spans="1:13" ht="15.75" outlineLevel="1" thickBot="1" x14ac:dyDescent="0.25">
      <c r="A39" s="79"/>
      <c r="B39" s="893"/>
      <c r="C39" s="894"/>
      <c r="D39" s="894"/>
      <c r="E39" s="894"/>
      <c r="F39" s="580">
        <v>0.1</v>
      </c>
      <c r="G39" s="581">
        <f>F39*H16</f>
        <v>0</v>
      </c>
      <c r="H39" s="557"/>
    </row>
    <row r="40" spans="1:13" ht="15.75" outlineLevel="1" thickBot="1" x14ac:dyDescent="0.25">
      <c r="A40" s="79"/>
      <c r="B40" s="890" t="s">
        <v>403</v>
      </c>
      <c r="C40" s="891"/>
      <c r="D40" s="891"/>
      <c r="E40" s="891"/>
      <c r="F40" s="891"/>
      <c r="G40" s="892"/>
      <c r="H40" s="570">
        <f>G41</f>
        <v>0</v>
      </c>
      <c r="I40" s="833"/>
    </row>
    <row r="41" spans="1:13" ht="15.75" outlineLevel="1" thickBot="1" x14ac:dyDescent="0.25">
      <c r="A41" s="79"/>
      <c r="B41" s="893"/>
      <c r="C41" s="894"/>
      <c r="D41" s="894"/>
      <c r="E41" s="894"/>
      <c r="F41" s="838">
        <v>0.02</v>
      </c>
      <c r="G41" s="837">
        <f>IF(MAX(H16,H25,H31,H33)=0,0,MAX(500,(H16+H25+H31+H33+G39)*F41))</f>
        <v>0</v>
      </c>
      <c r="H41" s="582"/>
      <c r="I41" s="839"/>
      <c r="M41" s="686"/>
    </row>
    <row r="42" spans="1:13" ht="15.75" outlineLevel="1" thickBot="1" x14ac:dyDescent="0.25">
      <c r="A42" s="79"/>
      <c r="B42" s="890" t="s">
        <v>507</v>
      </c>
      <c r="C42" s="891"/>
      <c r="D42" s="891"/>
      <c r="E42" s="891"/>
      <c r="F42" s="891"/>
      <c r="G42" s="892"/>
      <c r="H42" s="583">
        <f>H16+H25+H31+H33+H38+H40</f>
        <v>0</v>
      </c>
      <c r="I42" s="832" t="s">
        <v>649</v>
      </c>
      <c r="M42" s="451"/>
    </row>
    <row r="43" spans="1:13" ht="15.75" outlineLevel="1" thickBot="1" x14ac:dyDescent="0.25">
      <c r="A43" s="79"/>
      <c r="B43" s="584"/>
      <c r="C43" s="577"/>
      <c r="D43" s="577"/>
      <c r="E43" s="577"/>
      <c r="F43" s="79"/>
      <c r="G43" s="544"/>
      <c r="H43" s="585"/>
      <c r="I43" s="836" t="s">
        <v>644</v>
      </c>
      <c r="M43" s="451"/>
    </row>
    <row r="44" spans="1:13" ht="15.75" outlineLevel="1" thickBot="1" x14ac:dyDescent="0.25">
      <c r="A44" s="79"/>
      <c r="B44" s="890" t="s">
        <v>400</v>
      </c>
      <c r="C44" s="891"/>
      <c r="D44" s="891"/>
      <c r="E44" s="891"/>
      <c r="F44" s="891"/>
      <c r="G44" s="891"/>
      <c r="H44" s="586"/>
    </row>
    <row r="45" spans="1:13" ht="15.75" outlineLevel="1" thickBot="1" x14ac:dyDescent="0.25">
      <c r="A45" s="79"/>
      <c r="B45" s="587"/>
      <c r="C45" s="588" t="s">
        <v>504</v>
      </c>
      <c r="D45" s="589" t="s">
        <v>363</v>
      </c>
      <c r="E45" s="588" t="s">
        <v>401</v>
      </c>
      <c r="F45" s="588" t="s">
        <v>94</v>
      </c>
      <c r="G45" s="590" t="s">
        <v>235</v>
      </c>
      <c r="H45" s="591" t="s">
        <v>505</v>
      </c>
    </row>
    <row r="46" spans="1:13" outlineLevel="1" x14ac:dyDescent="0.2">
      <c r="A46" s="79"/>
      <c r="B46" s="592" t="s">
        <v>364</v>
      </c>
      <c r="C46" s="550"/>
      <c r="D46" s="593">
        <f>G178</f>
        <v>0</v>
      </c>
      <c r="E46" s="594">
        <f t="shared" ref="E46:E57" si="0">D46*SUM($F$34:$F$37)</f>
        <v>0</v>
      </c>
      <c r="F46" s="594">
        <f>D46*$F$39</f>
        <v>0</v>
      </c>
      <c r="G46" s="670">
        <f>IF(SUM(D46:F46,$H$42-$H$40)&lt;25000,0,(0.02*SUM(D46:F46)))</f>
        <v>0</v>
      </c>
      <c r="H46" s="595">
        <f>SUM(D46:G46)</f>
        <v>0</v>
      </c>
    </row>
    <row r="47" spans="1:13" outlineLevel="1" x14ac:dyDescent="0.2">
      <c r="A47" s="79"/>
      <c r="B47" s="571" t="s">
        <v>365</v>
      </c>
      <c r="C47" s="564"/>
      <c r="D47" s="596">
        <f>G197</f>
        <v>0</v>
      </c>
      <c r="E47" s="597">
        <f t="shared" si="0"/>
        <v>0</v>
      </c>
      <c r="F47" s="597">
        <f t="shared" ref="F47:F57" si="1">D47*$F$39</f>
        <v>0</v>
      </c>
      <c r="G47" s="597">
        <f t="shared" ref="G47:G57" si="2">IF(SUM(D47:F47,$H$42-$H$40)&lt;25000,0,(0.02*SUM(D47:F47)))</f>
        <v>0</v>
      </c>
      <c r="H47" s="598">
        <f t="shared" ref="H47:H57" si="3">SUM(D47:G47)</f>
        <v>0</v>
      </c>
    </row>
    <row r="48" spans="1:13" outlineLevel="1" x14ac:dyDescent="0.2">
      <c r="A48" s="79"/>
      <c r="B48" s="571" t="s">
        <v>366</v>
      </c>
      <c r="C48" s="564"/>
      <c r="D48" s="596">
        <f>G216</f>
        <v>0</v>
      </c>
      <c r="E48" s="597">
        <f t="shared" si="0"/>
        <v>0</v>
      </c>
      <c r="F48" s="597">
        <f t="shared" si="1"/>
        <v>0</v>
      </c>
      <c r="G48" s="597">
        <f t="shared" si="2"/>
        <v>0</v>
      </c>
      <c r="H48" s="598">
        <f t="shared" si="3"/>
        <v>0</v>
      </c>
    </row>
    <row r="49" spans="1:12" outlineLevel="1" x14ac:dyDescent="0.2">
      <c r="A49" s="79"/>
      <c r="B49" s="571" t="s">
        <v>394</v>
      </c>
      <c r="C49" s="564"/>
      <c r="D49" s="596">
        <f>G235</f>
        <v>0</v>
      </c>
      <c r="E49" s="597">
        <f t="shared" si="0"/>
        <v>0</v>
      </c>
      <c r="F49" s="597">
        <f t="shared" si="1"/>
        <v>0</v>
      </c>
      <c r="G49" s="597">
        <f t="shared" si="2"/>
        <v>0</v>
      </c>
      <c r="H49" s="598">
        <f>SUM(D49:G49)</f>
        <v>0</v>
      </c>
    </row>
    <row r="50" spans="1:12" outlineLevel="1" x14ac:dyDescent="0.2">
      <c r="A50" s="79"/>
      <c r="B50" s="571" t="s">
        <v>395</v>
      </c>
      <c r="C50" s="564"/>
      <c r="D50" s="596">
        <f>G254</f>
        <v>0</v>
      </c>
      <c r="E50" s="597">
        <f t="shared" si="0"/>
        <v>0</v>
      </c>
      <c r="F50" s="597">
        <f t="shared" si="1"/>
        <v>0</v>
      </c>
      <c r="G50" s="597">
        <f t="shared" si="2"/>
        <v>0</v>
      </c>
      <c r="H50" s="598">
        <f t="shared" si="3"/>
        <v>0</v>
      </c>
    </row>
    <row r="51" spans="1:12" outlineLevel="1" x14ac:dyDescent="0.2">
      <c r="A51" s="79"/>
      <c r="B51" s="571" t="s">
        <v>396</v>
      </c>
      <c r="C51" s="564"/>
      <c r="D51" s="596">
        <f>G273</f>
        <v>0</v>
      </c>
      <c r="E51" s="597">
        <f t="shared" si="0"/>
        <v>0</v>
      </c>
      <c r="F51" s="597">
        <f t="shared" si="1"/>
        <v>0</v>
      </c>
      <c r="G51" s="597">
        <f t="shared" si="2"/>
        <v>0</v>
      </c>
      <c r="H51" s="598">
        <f t="shared" si="3"/>
        <v>0</v>
      </c>
    </row>
    <row r="52" spans="1:12" outlineLevel="1" x14ac:dyDescent="0.2">
      <c r="A52" s="79"/>
      <c r="B52" s="571" t="s">
        <v>591</v>
      </c>
      <c r="C52" s="564"/>
      <c r="D52" s="596">
        <f>G184</f>
        <v>0</v>
      </c>
      <c r="E52" s="597">
        <f t="shared" si="0"/>
        <v>0</v>
      </c>
      <c r="F52" s="597">
        <f t="shared" si="1"/>
        <v>0</v>
      </c>
      <c r="G52" s="597">
        <f t="shared" si="2"/>
        <v>0</v>
      </c>
      <c r="H52" s="598">
        <f t="shared" si="3"/>
        <v>0</v>
      </c>
      <c r="K52" s="686"/>
      <c r="L52" s="451"/>
    </row>
    <row r="53" spans="1:12" outlineLevel="1" x14ac:dyDescent="0.2">
      <c r="A53" s="79"/>
      <c r="B53" s="571" t="s">
        <v>592</v>
      </c>
      <c r="C53" s="564"/>
      <c r="D53" s="596">
        <f>G203</f>
        <v>0</v>
      </c>
      <c r="E53" s="597">
        <f t="shared" si="0"/>
        <v>0</v>
      </c>
      <c r="F53" s="597">
        <f t="shared" si="1"/>
        <v>0</v>
      </c>
      <c r="G53" s="597">
        <f t="shared" si="2"/>
        <v>0</v>
      </c>
      <c r="H53" s="598">
        <f t="shared" si="3"/>
        <v>0</v>
      </c>
      <c r="L53" s="451"/>
    </row>
    <row r="54" spans="1:12" outlineLevel="1" x14ac:dyDescent="0.2">
      <c r="A54" s="79"/>
      <c r="B54" s="571" t="s">
        <v>593</v>
      </c>
      <c r="C54" s="564"/>
      <c r="D54" s="596">
        <f>G222</f>
        <v>0</v>
      </c>
      <c r="E54" s="597">
        <f t="shared" si="0"/>
        <v>0</v>
      </c>
      <c r="F54" s="597">
        <f t="shared" si="1"/>
        <v>0</v>
      </c>
      <c r="G54" s="597">
        <f t="shared" si="2"/>
        <v>0</v>
      </c>
      <c r="H54" s="598">
        <f t="shared" si="3"/>
        <v>0</v>
      </c>
    </row>
    <row r="55" spans="1:12" outlineLevel="1" x14ac:dyDescent="0.2">
      <c r="A55" s="79"/>
      <c r="B55" s="571" t="s">
        <v>594</v>
      </c>
      <c r="C55" s="564"/>
      <c r="D55" s="596">
        <f>G241</f>
        <v>0</v>
      </c>
      <c r="E55" s="597">
        <f t="shared" si="0"/>
        <v>0</v>
      </c>
      <c r="F55" s="597">
        <f t="shared" si="1"/>
        <v>0</v>
      </c>
      <c r="G55" s="597">
        <f t="shared" si="2"/>
        <v>0</v>
      </c>
      <c r="H55" s="598">
        <f t="shared" si="3"/>
        <v>0</v>
      </c>
    </row>
    <row r="56" spans="1:12" outlineLevel="1" x14ac:dyDescent="0.2">
      <c r="A56" s="79"/>
      <c r="B56" s="571" t="s">
        <v>595</v>
      </c>
      <c r="C56" s="564"/>
      <c r="D56" s="596">
        <f>G260</f>
        <v>0</v>
      </c>
      <c r="E56" s="597">
        <f t="shared" si="0"/>
        <v>0</v>
      </c>
      <c r="F56" s="597">
        <f t="shared" si="1"/>
        <v>0</v>
      </c>
      <c r="G56" s="597">
        <f t="shared" si="2"/>
        <v>0</v>
      </c>
      <c r="H56" s="598">
        <f t="shared" si="3"/>
        <v>0</v>
      </c>
    </row>
    <row r="57" spans="1:12" ht="15.75" outlineLevel="1" thickBot="1" x14ac:dyDescent="0.25">
      <c r="A57" s="79"/>
      <c r="B57" s="599" t="s">
        <v>596</v>
      </c>
      <c r="C57" s="600"/>
      <c r="D57" s="601">
        <f>G279</f>
        <v>0</v>
      </c>
      <c r="E57" s="602">
        <f t="shared" si="0"/>
        <v>0</v>
      </c>
      <c r="F57" s="602">
        <f t="shared" si="1"/>
        <v>0</v>
      </c>
      <c r="G57" s="602">
        <f t="shared" si="2"/>
        <v>0</v>
      </c>
      <c r="H57" s="603">
        <f t="shared" si="3"/>
        <v>0</v>
      </c>
    </row>
    <row r="58" spans="1:12" ht="15.75" outlineLevel="1" thickBot="1" x14ac:dyDescent="0.25">
      <c r="A58" s="79"/>
      <c r="B58" s="604"/>
      <c r="C58" s="79"/>
      <c r="D58" s="605"/>
      <c r="E58" s="605"/>
      <c r="F58" s="605"/>
      <c r="G58" s="605"/>
      <c r="H58" s="606"/>
    </row>
    <row r="59" spans="1:12" ht="15.75" outlineLevel="1" thickBot="1" x14ac:dyDescent="0.25">
      <c r="A59" s="79"/>
      <c r="B59" s="884"/>
      <c r="C59" s="885"/>
      <c r="D59" s="607">
        <f>SUM(D46:D57)+H16</f>
        <v>0</v>
      </c>
      <c r="E59" s="607">
        <f>SUM(E46:E57)+H33</f>
        <v>0</v>
      </c>
      <c r="F59" s="607">
        <f>SUM(F46:F57)+G39</f>
        <v>0</v>
      </c>
      <c r="G59" s="607">
        <f>SUM(G46:G57)+G41</f>
        <v>0</v>
      </c>
      <c r="H59" s="608">
        <f>SUM(H46:H57)+H42</f>
        <v>0</v>
      </c>
    </row>
    <row r="60" spans="1:12" outlineLevel="1" x14ac:dyDescent="0.2">
      <c r="A60" s="79"/>
      <c r="B60" s="444"/>
      <c r="C60" s="444"/>
      <c r="D60" s="609"/>
      <c r="E60" s="609"/>
      <c r="F60" s="609"/>
      <c r="G60" s="609"/>
      <c r="H60" s="610"/>
    </row>
    <row r="61" spans="1:12" ht="16.5" thickBot="1" x14ac:dyDescent="0.3">
      <c r="A61" s="843" t="s">
        <v>493</v>
      </c>
      <c r="B61" s="843"/>
      <c r="C61" s="843"/>
      <c r="D61" s="843" t="s">
        <v>531</v>
      </c>
      <c r="E61" s="843"/>
      <c r="F61" s="843"/>
      <c r="G61" s="843"/>
      <c r="H61" s="843"/>
    </row>
    <row r="62" spans="1:12" ht="15.75" outlineLevel="1" x14ac:dyDescent="0.25">
      <c r="A62" s="611"/>
      <c r="B62" s="865" t="s">
        <v>532</v>
      </c>
      <c r="C62" s="866"/>
      <c r="D62" s="867" t="s">
        <v>92</v>
      </c>
      <c r="E62" s="868"/>
      <c r="F62" s="856" t="s">
        <v>583</v>
      </c>
      <c r="G62" s="859">
        <f>EstimatedCost</f>
        <v>0</v>
      </c>
      <c r="H62" s="860"/>
    </row>
    <row r="63" spans="1:12" ht="15" customHeight="1" outlineLevel="1" x14ac:dyDescent="0.2">
      <c r="B63" s="869" t="s">
        <v>533</v>
      </c>
      <c r="C63" s="870"/>
      <c r="D63" s="871" t="s">
        <v>229</v>
      </c>
      <c r="E63" s="872"/>
      <c r="F63" s="857"/>
      <c r="G63" s="861"/>
      <c r="H63" s="862"/>
    </row>
    <row r="64" spans="1:12" ht="15" customHeight="1" outlineLevel="1" x14ac:dyDescent="0.2">
      <c r="B64" s="869" t="s">
        <v>534</v>
      </c>
      <c r="C64" s="870"/>
      <c r="D64" s="871" t="s">
        <v>646</v>
      </c>
      <c r="E64" s="872"/>
      <c r="F64" s="857"/>
      <c r="G64" s="861"/>
      <c r="H64" s="862"/>
    </row>
    <row r="65" spans="2:9" ht="15.6" customHeight="1" outlineLevel="1" thickBot="1" x14ac:dyDescent="0.25">
      <c r="B65" s="903" t="s">
        <v>535</v>
      </c>
      <c r="C65" s="904"/>
      <c r="D65" s="905">
        <v>0</v>
      </c>
      <c r="E65" s="906"/>
      <c r="F65" s="858"/>
      <c r="G65" s="863"/>
      <c r="H65" s="864"/>
    </row>
    <row r="66" spans="2:9" ht="15.75" outlineLevel="1" thickBot="1" x14ac:dyDescent="0.25">
      <c r="E66" s="79"/>
      <c r="F66" s="79"/>
      <c r="G66" s="577"/>
      <c r="H66" s="544"/>
    </row>
    <row r="67" spans="2:9" ht="15.75" outlineLevel="1" thickBot="1" x14ac:dyDescent="0.25">
      <c r="B67" s="432" t="s">
        <v>447</v>
      </c>
      <c r="C67" s="612" t="s">
        <v>363</v>
      </c>
      <c r="D67" s="613"/>
      <c r="E67" s="614"/>
      <c r="F67" s="615"/>
      <c r="G67" s="616"/>
      <c r="H67" s="617">
        <f>SUM(H92:H97)</f>
        <v>0</v>
      </c>
    </row>
    <row r="68" spans="2:9" outlineLevel="1" x14ac:dyDescent="0.2">
      <c r="B68" s="566" t="s">
        <v>419</v>
      </c>
      <c r="C68" s="540" t="s">
        <v>363</v>
      </c>
      <c r="E68" s="618"/>
      <c r="F68" s="541"/>
      <c r="G68" s="619"/>
      <c r="H68" s="620"/>
    </row>
    <row r="69" spans="2:9" ht="18.75" outlineLevel="1" x14ac:dyDescent="0.25">
      <c r="B69" s="566"/>
      <c r="C69" s="664" t="s">
        <v>98</v>
      </c>
      <c r="D69" s="664" t="s">
        <v>230</v>
      </c>
      <c r="E69" s="665" t="s">
        <v>536</v>
      </c>
      <c r="F69" s="665" t="s">
        <v>537</v>
      </c>
      <c r="G69" s="665" t="s">
        <v>538</v>
      </c>
      <c r="H69" s="620" t="s">
        <v>232</v>
      </c>
    </row>
    <row r="70" spans="2:9" outlineLevel="1" x14ac:dyDescent="0.2">
      <c r="B70" s="566"/>
      <c r="C70" s="621" t="s">
        <v>240</v>
      </c>
      <c r="D70" s="622">
        <v>1</v>
      </c>
      <c r="E70" s="621" t="s">
        <v>259</v>
      </c>
      <c r="F70" s="623">
        <f>IF($D$62="New Construction",(VLOOKUP(C70,'Benchmark Cost Per SF'!$B$90:$F$113,MATCH(E70,'Benchmark Cost Per SF'!$B$89:$F$89,0),FALSE)),IF($D$62="Renovation",IF(C70=0,0,IF(C70&lt;5000,(INDEX('Benchmark Cost Per SF'!$H$57:$H$80,MATCH(D70,'Benchmark Cost Per SF'!$B$57:$B$80,0))+1),1))))</f>
        <v>1</v>
      </c>
      <c r="G70" s="624">
        <f>IF(D70=0,0,IF(D70&gt;0,IF($D$62="New Construction",(INDEX('Benchmark Cost Per SF'!G57:G80,MATCH(C70,'Benchmark Cost Per SF'!B57:B80,0))+F70),IF($D$62="Renovation",INDEX('Benchmark Cost Per SF'!B56:F80,MATCH(C70,'Benchmark Cost Per SF'!B56:B80,0),MATCH(E70,'Benchmark Cost Per SF'!B56:F56,0))*F70))))</f>
        <v>161.97499999999999</v>
      </c>
      <c r="H70" s="620">
        <f>IF(G17&gt;0,0,IF(C75&gt;0,0,IF(OR(SUM(D70:D72)&gt;1,SUM(D70:D72)&lt;1)," % &lt;&gt;100% Amount",$C$9*D70*G70)))</f>
        <v>0</v>
      </c>
      <c r="I70" s="451"/>
    </row>
    <row r="71" spans="2:9" outlineLevel="1" x14ac:dyDescent="0.2">
      <c r="B71" s="566"/>
      <c r="C71" s="621" t="s">
        <v>240</v>
      </c>
      <c r="D71" s="622">
        <v>0</v>
      </c>
      <c r="E71" s="621" t="s">
        <v>259</v>
      </c>
      <c r="F71" s="623">
        <f>IF($D$62="New Construction",(VLOOKUP(C71,'Benchmark Cost Per SF'!$B$90:$F$113,MATCH(E71,'Benchmark Cost Per SF'!$B$89:$F$89,0),FALSE)),IF($D$62="Renovation",IF(C71=0,0,IF(C71&lt;5000,(INDEX('Benchmark Cost Per SF'!$H$57:$H$80,MATCH(D71,'Benchmark Cost Per SF'!$B$57:$B$80,0))+1),1))))</f>
        <v>1</v>
      </c>
      <c r="G71" s="624">
        <f>IF(D71=0,0,IF(D71&gt;0,IF($D$62="New Construction",(INDEX('Benchmark Cost Per SF'!G57:G80,MATCH(C71,'Benchmark Cost Per SF'!B57:B80,0))+F71),IF($D$62="Renovation",INDEX('Benchmark Cost Per SF'!B56:F80,MATCH(C71,'Benchmark Cost Per SF'!B56:B80,0),MATCH(E71,'Benchmark Cost Per SF'!B56:F56,0))*F71))))</f>
        <v>0</v>
      </c>
      <c r="H71" s="620">
        <f>IF(G17&gt;0,0,IF(C75&gt;0,0,IF(OR(SUM(D70:D72)&gt;1,SUM(D70:D72)&lt;1)," % &lt;&gt;100% Amount",$C$9*D71*G71)))</f>
        <v>0</v>
      </c>
    </row>
    <row r="72" spans="2:9" outlineLevel="1" x14ac:dyDescent="0.2">
      <c r="B72" s="566"/>
      <c r="C72" s="621" t="s">
        <v>240</v>
      </c>
      <c r="D72" s="622">
        <v>0</v>
      </c>
      <c r="E72" s="621" t="s">
        <v>259</v>
      </c>
      <c r="F72" s="623">
        <f>IF($D$62="New Construction",(VLOOKUP(C72,'Benchmark Cost Per SF'!$B$90:$F$113,MATCH(E72,'Benchmark Cost Per SF'!$B$89:$F$89,0),FALSE)),IF($D$62="Renovation",IF(C72=0,0,IF(C72&lt;5000,(INDEX('Benchmark Cost Per SF'!$H$57:$H$80,MATCH(D72,'Benchmark Cost Per SF'!$B$57:$B$80,0))+1),1))))</f>
        <v>1</v>
      </c>
      <c r="G72" s="624">
        <f>IF(D72=0,0,IF(D72&gt;0,IF($D$62="New Construction",(INDEX('Benchmark Cost Per SF'!G57:G80,MATCH(C72,'Benchmark Cost Per SF'!B57:B80,0))+F72),IF($D$62="Renovation",INDEX('Benchmark Cost Per SF'!B56:F80,MATCH(C72,'Benchmark Cost Per SF'!B56:B80,0),MATCH(E72,'Benchmark Cost Per SF'!B56:F56,0))*F72))))</f>
        <v>0</v>
      </c>
      <c r="H72" s="620">
        <f>IF(G17&gt;0,0,IF(C75&gt;0,0,IF(OR(SUM(D70:D72)&gt;1,SUM(D70:D72)&lt;1)," % &lt;&gt;100% Amount",$C$9*D72*G72)))</f>
        <v>0</v>
      </c>
    </row>
    <row r="73" spans="2:9" ht="15.75" outlineLevel="1" x14ac:dyDescent="0.25">
      <c r="B73" s="566"/>
      <c r="C73" s="907"/>
      <c r="D73" s="907"/>
      <c r="E73" s="907"/>
      <c r="F73" s="907"/>
      <c r="G73" s="907"/>
      <c r="H73" s="620"/>
    </row>
    <row r="74" spans="2:9" ht="15.75" outlineLevel="1" x14ac:dyDescent="0.25">
      <c r="B74" s="566"/>
      <c r="C74" s="844" t="s">
        <v>584</v>
      </c>
      <c r="D74" s="845"/>
      <c r="E74" s="845"/>
      <c r="F74" s="845"/>
      <c r="G74" s="846"/>
      <c r="H74" s="625"/>
    </row>
    <row r="75" spans="2:9" outlineLevel="1" x14ac:dyDescent="0.2">
      <c r="B75" s="566"/>
      <c r="C75" s="902"/>
      <c r="D75" s="902"/>
      <c r="E75" s="902"/>
      <c r="F75" s="902"/>
      <c r="G75" s="902"/>
      <c r="H75" s="620">
        <f>IF(SUM(H70:H72)&gt;0,0,C75)</f>
        <v>0</v>
      </c>
    </row>
    <row r="76" spans="2:9" ht="15.75" outlineLevel="1" x14ac:dyDescent="0.25">
      <c r="B76" s="566"/>
      <c r="C76" s="844" t="s">
        <v>313</v>
      </c>
      <c r="D76" s="845"/>
      <c r="E76" s="845"/>
      <c r="F76" s="845"/>
      <c r="G76" s="846"/>
      <c r="H76" s="625"/>
    </row>
    <row r="77" spans="2:9" ht="31.5" outlineLevel="1" x14ac:dyDescent="0.25">
      <c r="B77" s="566"/>
      <c r="C77" s="728" t="s">
        <v>352</v>
      </c>
      <c r="D77" s="728" t="s">
        <v>362</v>
      </c>
      <c r="E77" s="728" t="s">
        <v>557</v>
      </c>
      <c r="F77" s="728" t="s">
        <v>368</v>
      </c>
      <c r="G77" s="728" t="s">
        <v>539</v>
      </c>
      <c r="H77" s="626"/>
    </row>
    <row r="78" spans="2:9" outlineLevel="1" x14ac:dyDescent="0.2">
      <c r="B78" s="566"/>
      <c r="C78" s="622">
        <v>0.1</v>
      </c>
      <c r="D78" s="622">
        <v>0</v>
      </c>
      <c r="E78" s="622">
        <v>0</v>
      </c>
      <c r="F78" s="622">
        <v>0</v>
      </c>
      <c r="G78" s="622">
        <v>0</v>
      </c>
      <c r="H78" s="620">
        <f>IF(SUM(H70:H72)&gt;0,SUM(C78:G78)*SUMPRODUCT(H70:H72,D70:D72),SUM(C78:G78)*H75)</f>
        <v>0</v>
      </c>
      <c r="I78" s="451"/>
    </row>
    <row r="79" spans="2:9" outlineLevel="1" x14ac:dyDescent="0.2">
      <c r="B79" s="566"/>
      <c r="C79" s="849"/>
      <c r="D79" s="849"/>
      <c r="E79" s="849"/>
      <c r="F79" s="849"/>
      <c r="G79" s="849"/>
      <c r="H79" s="850"/>
    </row>
    <row r="80" spans="2:9" ht="15.75" outlineLevel="1" x14ac:dyDescent="0.25">
      <c r="B80" s="566"/>
      <c r="C80" s="844" t="s">
        <v>564</v>
      </c>
      <c r="D80" s="845"/>
      <c r="E80" s="845"/>
      <c r="F80" s="845"/>
      <c r="G80" s="846"/>
      <c r="H80" s="688"/>
    </row>
    <row r="81" spans="2:14" ht="15.75" outlineLevel="1" x14ac:dyDescent="0.25">
      <c r="B81" s="746">
        <f>IF(C81="Tag",4,IF(C81="PM",5,IF(C81="Tag and PM",6)))+IF(D62="Renovation",3,0)*IF(C81="None",0,1)</f>
        <v>0</v>
      </c>
      <c r="C81" s="852" t="s">
        <v>500</v>
      </c>
      <c r="D81" s="853"/>
      <c r="E81" s="853"/>
      <c r="F81" s="853"/>
      <c r="G81" s="854"/>
      <c r="H81" s="855">
        <f>IF(B81=0,0,VLOOKUP(C82,AssetTagTbl,B81,FALSE)*C9)</f>
        <v>0</v>
      </c>
      <c r="J81" s="747"/>
    </row>
    <row r="82" spans="2:14" ht="15.75" outlineLevel="1" x14ac:dyDescent="0.25">
      <c r="B82" s="566"/>
      <c r="C82" s="852" t="str">
        <f>C70</f>
        <v>General Classroom</v>
      </c>
      <c r="D82" s="853"/>
      <c r="E82" s="853"/>
      <c r="F82" s="853"/>
      <c r="G82" s="854"/>
      <c r="H82" s="855"/>
    </row>
    <row r="83" spans="2:14" outlineLevel="1" x14ac:dyDescent="0.2">
      <c r="B83" s="566"/>
      <c r="C83" s="577"/>
      <c r="D83" s="577"/>
      <c r="E83" s="577"/>
      <c r="F83" s="577"/>
      <c r="G83" s="577"/>
      <c r="H83" s="784" t="str">
        <f>IF(AND(C9=0,C81&lt;&gt;"None"),"Enter SF"," ")</f>
        <v xml:space="preserve"> </v>
      </c>
    </row>
    <row r="84" spans="2:14" ht="15.75" outlineLevel="1" x14ac:dyDescent="0.25">
      <c r="B84" s="566"/>
      <c r="C84" s="627" t="s">
        <v>367</v>
      </c>
      <c r="D84" s="851" t="s">
        <v>504</v>
      </c>
      <c r="E84" s="851"/>
      <c r="F84" s="851"/>
      <c r="G84" s="628">
        <v>0</v>
      </c>
      <c r="H84" s="620">
        <v>0</v>
      </c>
      <c r="I84" s="451"/>
    </row>
    <row r="85" spans="2:14" ht="15.75" outlineLevel="1" x14ac:dyDescent="0.25">
      <c r="B85" s="566"/>
      <c r="C85" s="627" t="s">
        <v>367</v>
      </c>
      <c r="D85" s="851" t="s">
        <v>504</v>
      </c>
      <c r="E85" s="851"/>
      <c r="F85" s="851"/>
      <c r="G85" s="628">
        <v>0</v>
      </c>
      <c r="H85" s="620">
        <f>G85</f>
        <v>0</v>
      </c>
    </row>
    <row r="86" spans="2:14" ht="15.75" outlineLevel="1" x14ac:dyDescent="0.25">
      <c r="B86" s="566"/>
      <c r="C86" s="627"/>
      <c r="D86" s="638"/>
      <c r="E86" s="638"/>
      <c r="F86" s="638"/>
      <c r="G86" s="632"/>
      <c r="H86" s="620"/>
    </row>
    <row r="87" spans="2:14" ht="15.75" outlineLevel="1" x14ac:dyDescent="0.25">
      <c r="B87" s="566"/>
      <c r="C87" s="844" t="s">
        <v>585</v>
      </c>
      <c r="D87" s="845"/>
      <c r="E87" s="845"/>
      <c r="F87" s="845"/>
      <c r="G87" s="846"/>
      <c r="H87" s="750"/>
    </row>
    <row r="88" spans="2:14" ht="15.75" outlineLevel="1" x14ac:dyDescent="0.25">
      <c r="B88" s="566"/>
      <c r="C88" s="664" t="s">
        <v>540</v>
      </c>
      <c r="D88" s="664" t="s">
        <v>541</v>
      </c>
      <c r="E88" s="664" t="s">
        <v>542</v>
      </c>
      <c r="F88" s="79"/>
      <c r="G88" s="79"/>
      <c r="H88" s="620"/>
      <c r="J88" s="781"/>
      <c r="L88" s="782"/>
      <c r="M88" s="451"/>
      <c r="N88" s="783"/>
    </row>
    <row r="89" spans="2:14" outlineLevel="1" x14ac:dyDescent="0.2">
      <c r="B89" s="566"/>
      <c r="C89" s="621">
        <v>1</v>
      </c>
      <c r="D89" s="622">
        <v>0.05</v>
      </c>
      <c r="E89" s="629">
        <f>(1+D89)^C89</f>
        <v>1.05</v>
      </c>
      <c r="G89" s="630">
        <f>IFERROR(H89/C9,0)</f>
        <v>0</v>
      </c>
      <c r="H89" s="620">
        <f>(E89-1)*SUM(H70:H72,H75,H78,H81,H84:H85)</f>
        <v>0</v>
      </c>
      <c r="M89" s="780"/>
      <c r="N89" s="751"/>
    </row>
    <row r="90" spans="2:14" outlineLevel="1" x14ac:dyDescent="0.2">
      <c r="B90" s="566"/>
      <c r="C90" s="79"/>
      <c r="D90" s="631"/>
      <c r="E90" s="79"/>
      <c r="F90" s="79"/>
      <c r="G90" s="632"/>
      <c r="H90" s="633"/>
      <c r="N90" s="751"/>
    </row>
    <row r="91" spans="2:14" outlineLevel="1" x14ac:dyDescent="0.2">
      <c r="B91" s="666" t="s">
        <v>234</v>
      </c>
      <c r="C91" s="634"/>
      <c r="D91" s="79"/>
      <c r="E91" s="635" t="s">
        <v>500</v>
      </c>
      <c r="F91" s="636">
        <f>IF(E91="High",15%,IF(E91="Medium",10%,IF(E91="Low",5%,0%)))</f>
        <v>0</v>
      </c>
      <c r="G91" s="539"/>
      <c r="H91" s="637">
        <f>F91*SUM(H70:H89)</f>
        <v>0</v>
      </c>
      <c r="J91" s="451"/>
    </row>
    <row r="92" spans="2:14" outlineLevel="1" x14ac:dyDescent="0.2">
      <c r="B92" s="639" t="s">
        <v>543</v>
      </c>
      <c r="C92" s="539"/>
      <c r="E92" s="539"/>
      <c r="G92" s="539"/>
      <c r="H92" s="626">
        <f>SUM(H70:H89,H91)</f>
        <v>0</v>
      </c>
      <c r="I92" s="451"/>
      <c r="J92" s="451"/>
    </row>
    <row r="93" spans="2:14" outlineLevel="1" x14ac:dyDescent="0.2">
      <c r="B93" s="666" t="s">
        <v>544</v>
      </c>
      <c r="C93" s="634"/>
      <c r="D93" s="631"/>
      <c r="E93" s="755"/>
      <c r="F93" s="636">
        <f>IF(D64="Construction Manager at Risk",VLOOKUP(LabMat,CMLookUp,3),IF(D64="Design-Build",VLOOKUP(LabMat,DBLookUp,3),IF(D64="General Contractor",0.1,0)))</f>
        <v>0.1</v>
      </c>
      <c r="G93" s="638"/>
      <c r="H93" s="633">
        <f>F93*H92</f>
        <v>0</v>
      </c>
      <c r="J93" s="751"/>
      <c r="K93" s="451"/>
      <c r="L93" s="754"/>
    </row>
    <row r="94" spans="2:14" outlineLevel="1" x14ac:dyDescent="0.2">
      <c r="B94" s="666" t="s">
        <v>638</v>
      </c>
      <c r="C94" s="634"/>
      <c r="D94" s="631"/>
      <c r="E94" s="825" t="s">
        <v>500</v>
      </c>
      <c r="F94" s="636">
        <f>IF(E94="Low",(0.04),IF(E94="Medium",(0.07),IF(E94="High",(0.1),IF(E94="Small CMR",(0.12),IF(E94="None",(0))))))</f>
        <v>0</v>
      </c>
      <c r="G94" s="638"/>
      <c r="H94" s="633">
        <f>F94*H92</f>
        <v>0</v>
      </c>
      <c r="J94" s="751"/>
      <c r="K94" s="451"/>
      <c r="L94" s="754"/>
    </row>
    <row r="95" spans="2:14" outlineLevel="1" x14ac:dyDescent="0.2">
      <c r="B95" s="834" t="s">
        <v>642</v>
      </c>
      <c r="E95" s="755"/>
      <c r="F95" s="636">
        <f>IF(D64="General Contractor",0,3%)</f>
        <v>0</v>
      </c>
      <c r="G95" s="619"/>
      <c r="H95" s="620">
        <f>F95*(SUM(H92,GenCon))</f>
        <v>0</v>
      </c>
      <c r="J95" s="753"/>
      <c r="K95" s="451"/>
    </row>
    <row r="96" spans="2:14" outlineLevel="1" x14ac:dyDescent="0.2">
      <c r="B96" s="666" t="s">
        <v>636</v>
      </c>
      <c r="C96" s="634"/>
      <c r="D96" s="631"/>
      <c r="E96" s="755"/>
      <c r="F96" s="636">
        <f>IF(D64="Design-Build",VLOOKUP(LabMat,DBLookUp,4),0)</f>
        <v>0</v>
      </c>
      <c r="G96" s="632"/>
      <c r="H96" s="633">
        <f>F96*(SUM(H92:H95))</f>
        <v>0</v>
      </c>
    </row>
    <row r="97" spans="2:10" ht="15.75" outlineLevel="1" thickBot="1" x14ac:dyDescent="0.25">
      <c r="B97" s="666" t="s">
        <v>637</v>
      </c>
      <c r="C97" s="634"/>
      <c r="E97" s="755"/>
      <c r="F97" s="814">
        <f>IF(D64="Construction Manager at Risk",VLOOKUP(SUM(H92:H93,H95),CMLookUp,4),IF(D64="Design-Build",VLOOKUP(SUM(H92:H93,H95),DBLookUp,6),0))</f>
        <v>0</v>
      </c>
      <c r="G97" s="619"/>
      <c r="H97" s="620">
        <f>F97*SUM(H92:H96,H95)</f>
        <v>0</v>
      </c>
    </row>
    <row r="98" spans="2:10" ht="15.75" outlineLevel="1" thickBot="1" x14ac:dyDescent="0.25">
      <c r="B98" s="823" t="s">
        <v>639</v>
      </c>
      <c r="C98" s="612" t="s">
        <v>641</v>
      </c>
      <c r="D98" s="615"/>
      <c r="E98" s="615"/>
      <c r="F98" s="815">
        <f>IF('Fee Look Up Table'!L2="Yes",2%,0)</f>
        <v>0</v>
      </c>
      <c r="G98" s="616"/>
      <c r="H98" s="617">
        <f>IF(F98=0,0,F98*SUM(H92:H96)+(1+F97+F96))</f>
        <v>0</v>
      </c>
      <c r="I98" s="830" t="s">
        <v>640</v>
      </c>
      <c r="J98" s="752"/>
    </row>
    <row r="99" spans="2:10" ht="15.75" outlineLevel="1" thickBot="1" x14ac:dyDescent="0.25">
      <c r="B99" s="432" t="s">
        <v>449</v>
      </c>
      <c r="C99" s="612" t="s">
        <v>422</v>
      </c>
      <c r="D99" s="613"/>
      <c r="E99" s="615"/>
      <c r="F99" s="615"/>
      <c r="G99" s="616"/>
      <c r="H99" s="617">
        <f>SUM(H100:H104)</f>
        <v>0</v>
      </c>
    </row>
    <row r="100" spans="2:10" outlineLevel="1" x14ac:dyDescent="0.2">
      <c r="B100" s="566" t="s">
        <v>423</v>
      </c>
      <c r="C100" s="540" t="s">
        <v>427</v>
      </c>
      <c r="E100" s="826" t="s">
        <v>500</v>
      </c>
      <c r="F100" s="641">
        <f>IF(E100="High",15%,IF(E100="Medium",10%,IF(E100="Low",5%,0%)))</f>
        <v>0</v>
      </c>
      <c r="G100" s="619"/>
      <c r="H100" s="620">
        <f>F100*H$67</f>
        <v>0</v>
      </c>
    </row>
    <row r="101" spans="2:10" outlineLevel="1" x14ac:dyDescent="0.2">
      <c r="B101" s="566" t="s">
        <v>424</v>
      </c>
      <c r="C101" s="540" t="s">
        <v>95</v>
      </c>
      <c r="E101" s="827" t="s">
        <v>500</v>
      </c>
      <c r="F101" s="642">
        <f>IF(E101="High",15%,IF(E101="Medium",10%,IF(E101="Low",5%,0%)))</f>
        <v>0</v>
      </c>
      <c r="G101" s="643"/>
      <c r="H101" s="620">
        <f>F101*H$67</f>
        <v>0</v>
      </c>
    </row>
    <row r="102" spans="2:10" outlineLevel="1" x14ac:dyDescent="0.2">
      <c r="B102" s="566" t="s">
        <v>425</v>
      </c>
      <c r="C102" s="540" t="s">
        <v>70</v>
      </c>
      <c r="E102" s="827" t="s">
        <v>500</v>
      </c>
      <c r="F102" s="642">
        <f>IF(E102="High",15%,IF(E102="Medium",10%,IF(E102="Low",5%,0%)))</f>
        <v>0</v>
      </c>
      <c r="G102" s="643"/>
      <c r="H102" s="620">
        <f>F102*H$67</f>
        <v>0</v>
      </c>
      <c r="J102" s="751"/>
    </row>
    <row r="103" spans="2:10" outlineLevel="1" x14ac:dyDescent="0.2">
      <c r="B103" s="566" t="s">
        <v>426</v>
      </c>
      <c r="C103" s="540" t="s">
        <v>428</v>
      </c>
      <c r="E103" s="827" t="s">
        <v>500</v>
      </c>
      <c r="F103" s="644">
        <f>IF(E103="High",15%,IF(E103="Medium",10%,IF(E103="Low",5%,0%)))</f>
        <v>0</v>
      </c>
      <c r="G103" s="619"/>
      <c r="H103" s="620">
        <f>F103*H$67</f>
        <v>0</v>
      </c>
    </row>
    <row r="104" spans="2:10" ht="15.75" outlineLevel="1" thickBot="1" x14ac:dyDescent="0.25">
      <c r="B104" s="566" t="s">
        <v>426</v>
      </c>
      <c r="C104" s="540" t="s">
        <v>72</v>
      </c>
      <c r="E104" s="828" t="s">
        <v>500</v>
      </c>
      <c r="F104" s="644">
        <f>IF(E104="High",15%,IF(E104="Medium",10%,IF(E104="Low",5%,0%)))</f>
        <v>0</v>
      </c>
      <c r="G104" s="619"/>
      <c r="H104" s="620">
        <f>F104*H$67</f>
        <v>0</v>
      </c>
    </row>
    <row r="105" spans="2:10" ht="15.75" outlineLevel="1" thickBot="1" x14ac:dyDescent="0.25">
      <c r="B105" s="645" t="s">
        <v>445</v>
      </c>
      <c r="C105" s="612" t="s">
        <v>545</v>
      </c>
      <c r="D105" s="615"/>
      <c r="E105" s="646"/>
      <c r="F105" s="615"/>
      <c r="G105" s="647"/>
      <c r="H105" s="617">
        <f>SUM(H106,H111,H117:H121)</f>
        <v>0</v>
      </c>
    </row>
    <row r="106" spans="2:10" outlineLevel="1" x14ac:dyDescent="0.2">
      <c r="B106" s="566" t="s">
        <v>407</v>
      </c>
      <c r="C106" s="648" t="s">
        <v>598</v>
      </c>
      <c r="D106" s="649">
        <f>IF(D63="Average",IF(D62="New Construction",VLOOKUP(H67/1000,'Basic Services Fees'!A23:G98,2),VLOOKUP(H67/1000,'Basic Services Fees'!A23:G98,3)),IF(D63="Difficult",IF(D62="New Construction",VLOOKUP(H67/1000,'Basic Services Fees'!A23:G98,4),VLOOKUP(H67/1000,'Basic Services Fees'!A23:G98,5)),IF(D63="Hist/Memorial",IF(D62="New Construction",VLOOKUP(H67/1000,'Basic Services Fees'!A23:G98,4),VLOOKUP(H67/1000,'Basic Services Fees'!A23:G98,5)),0)))</f>
        <v>0</v>
      </c>
      <c r="E106" s="650"/>
      <c r="G106" s="539"/>
      <c r="H106" s="626">
        <f>SUM(H107:H110)</f>
        <v>0</v>
      </c>
    </row>
    <row r="107" spans="2:10" outlineLevel="1" x14ac:dyDescent="0.2">
      <c r="B107" s="651"/>
      <c r="C107" s="652" t="str">
        <f>IF(D64="Design-Build","Criteria A/E Services","Basic A/E Services")</f>
        <v>Basic A/E Services</v>
      </c>
      <c r="E107" s="428"/>
      <c r="F107" s="653">
        <f>IF(C107="Basic A/E Services",D106,IF(C107="Criteria A/E Services",D106*0.25,0))</f>
        <v>0</v>
      </c>
      <c r="G107" s="539"/>
      <c r="H107" s="774">
        <f>F107*$H$67</f>
        <v>0</v>
      </c>
    </row>
    <row r="108" spans="2:10" outlineLevel="1" x14ac:dyDescent="0.2">
      <c r="B108" s="651"/>
      <c r="C108" s="652" t="s">
        <v>397</v>
      </c>
      <c r="E108" s="635" t="s">
        <v>103</v>
      </c>
      <c r="F108" s="636">
        <f>IF(C107="Criteria A/E Services",IF(E108="Low",(0.01*0.4),IF(E108="Medium",(0.02*0.4),IF(E108="High",(0.03*0.4)))),IF(E108="Low",(0.01),IF(E108="Medium",(0.02),IF(E108="High",(0.03)))))</f>
        <v>0.01</v>
      </c>
      <c r="G108" s="539"/>
      <c r="H108" s="774">
        <f>F108*$H$67</f>
        <v>0</v>
      </c>
    </row>
    <row r="109" spans="2:10" outlineLevel="1" x14ac:dyDescent="0.2">
      <c r="B109" s="651"/>
      <c r="C109" s="652" t="s">
        <v>117</v>
      </c>
      <c r="E109" s="635" t="s">
        <v>103</v>
      </c>
      <c r="F109" s="636">
        <f>IF(C107="Criteria A/E Services",IF(E109="Low",(0.01*0.4),IF(E109="Medium",(0.02*0.4),IF(E109="High",(0.03*0.4)))),IF(E109="Low",(0.01),IF(E109="Medium",(0.02),IF(E109="High",(0.03)))))</f>
        <v>0.01</v>
      </c>
      <c r="G109" s="619"/>
      <c r="H109" s="774">
        <f>F109*$H$67</f>
        <v>0</v>
      </c>
    </row>
    <row r="110" spans="2:10" outlineLevel="1" x14ac:dyDescent="0.2">
      <c r="B110" s="651"/>
      <c r="C110" s="835" t="s">
        <v>439</v>
      </c>
      <c r="E110" s="635" t="s">
        <v>546</v>
      </c>
      <c r="F110" s="636" t="s">
        <v>547</v>
      </c>
      <c r="G110" s="619"/>
      <c r="H110" s="626">
        <f>IF(E110="Silver",36000,IF(E110="Gold",56000,0))</f>
        <v>0</v>
      </c>
    </row>
    <row r="111" spans="2:10" outlineLevel="1" x14ac:dyDescent="0.2">
      <c r="B111" s="566" t="s">
        <v>408</v>
      </c>
      <c r="C111" s="648" t="s">
        <v>414</v>
      </c>
      <c r="E111" s="428"/>
      <c r="F111" s="428"/>
      <c r="G111" s="619"/>
      <c r="H111" s="626">
        <f>SUM(H112:H116)</f>
        <v>0</v>
      </c>
    </row>
    <row r="112" spans="2:10" outlineLevel="1" x14ac:dyDescent="0.2">
      <c r="B112" s="651"/>
      <c r="C112" s="652" t="s">
        <v>440</v>
      </c>
      <c r="E112" s="428"/>
      <c r="F112" s="653">
        <f>IF(D64="Construction Manager at Risk",VLOOKUP(H67,CMLookUp,7,TRUE),IF(D64="Design-Build",VLOOKUP(G106,DBLookUp,8),0))</f>
        <v>0</v>
      </c>
      <c r="G112" s="619"/>
      <c r="H112" s="774">
        <f>F112*$H$67</f>
        <v>0</v>
      </c>
    </row>
    <row r="113" spans="2:13" outlineLevel="1" x14ac:dyDescent="0.2">
      <c r="B113" s="651"/>
      <c r="C113" s="652" t="s">
        <v>446</v>
      </c>
      <c r="E113" s="428"/>
      <c r="F113" s="636">
        <f>IF(D64="Design-Build",D106*0.45,0)</f>
        <v>0</v>
      </c>
      <c r="G113" s="619"/>
      <c r="H113" s="774">
        <f>F113*$H$67</f>
        <v>0</v>
      </c>
    </row>
    <row r="114" spans="2:13" outlineLevel="1" x14ac:dyDescent="0.2">
      <c r="B114" s="651"/>
      <c r="C114" s="652" t="s">
        <v>441</v>
      </c>
      <c r="E114" s="635" t="s">
        <v>103</v>
      </c>
      <c r="F114" s="636">
        <f>IF(C107="Criteria A/E Services",IF(E114="Low",(0.01*0.6),IF(E114="Medium",(0.02*0.6),IF(E114="High",(0.03*0.6)))),0)</f>
        <v>0</v>
      </c>
      <c r="G114" s="619"/>
      <c r="H114" s="774">
        <f>F114*$H$67</f>
        <v>0</v>
      </c>
    </row>
    <row r="115" spans="2:13" outlineLevel="1" x14ac:dyDescent="0.2">
      <c r="B115" s="651"/>
      <c r="C115" s="652" t="s">
        <v>442</v>
      </c>
      <c r="E115" s="635" t="s">
        <v>103</v>
      </c>
      <c r="F115" s="636">
        <f>IF(C107="Criteria A/E Services",IF(E115="Low",(0.01*0.6),IF(E115="Medium",(0.02*0.6),IF(E115="High",(0.03*0.6)))),0)</f>
        <v>0</v>
      </c>
      <c r="G115" s="619"/>
      <c r="H115" s="774">
        <f>F115*$H$67</f>
        <v>0</v>
      </c>
    </row>
    <row r="116" spans="2:13" outlineLevel="1" x14ac:dyDescent="0.2">
      <c r="B116" s="651"/>
      <c r="C116" s="652" t="s">
        <v>443</v>
      </c>
      <c r="E116" s="635" t="s">
        <v>546</v>
      </c>
      <c r="F116" s="636" t="s">
        <v>547</v>
      </c>
      <c r="G116" s="619"/>
      <c r="H116" s="774">
        <f>IF(E116="Silver",36000,IF(E116="Gold",56000,0))</f>
        <v>0</v>
      </c>
    </row>
    <row r="117" spans="2:13" outlineLevel="1" x14ac:dyDescent="0.2">
      <c r="B117" s="566" t="s">
        <v>409</v>
      </c>
      <c r="C117" s="540" t="s">
        <v>79</v>
      </c>
      <c r="E117" s="635" t="s">
        <v>92</v>
      </c>
      <c r="F117" s="636">
        <f>IF(E117="New",VLOOKUP(H67,'Fee Look Up Table'!B43:N48,3),IF(E117="New/Renovation",VLOOKUP(H67,'Fee Look Up Table'!B43:N48,6),IF(E117="Renovation",VLOOKUP(H67,'Fee Look Up Table'!B43:N48,9),IF(E117="Utility",VLOOKUP(H67,'Fee Look Up Table'!B43:N48,12),0))))</f>
        <v>1.6891979599650973E-2</v>
      </c>
      <c r="G117" s="619"/>
      <c r="H117" s="626">
        <f>F117*$H$67</f>
        <v>0</v>
      </c>
    </row>
    <row r="118" spans="2:13" outlineLevel="1" x14ac:dyDescent="0.2">
      <c r="B118" s="566" t="s">
        <v>410</v>
      </c>
      <c r="C118" s="540" t="s">
        <v>415</v>
      </c>
      <c r="E118" s="618"/>
      <c r="F118" s="541"/>
      <c r="G118" s="619"/>
      <c r="H118" s="626">
        <v>0</v>
      </c>
    </row>
    <row r="119" spans="2:13" outlineLevel="1" x14ac:dyDescent="0.2">
      <c r="B119" s="566" t="s">
        <v>411</v>
      </c>
      <c r="C119" s="540" t="s">
        <v>416</v>
      </c>
      <c r="E119" s="618"/>
      <c r="F119" s="541"/>
      <c r="G119" s="619"/>
      <c r="H119" s="626">
        <v>0</v>
      </c>
    </row>
    <row r="120" spans="2:13" outlineLevel="1" x14ac:dyDescent="0.2">
      <c r="B120" s="566" t="s">
        <v>412</v>
      </c>
      <c r="C120" s="540" t="s">
        <v>417</v>
      </c>
      <c r="E120" s="618"/>
      <c r="F120" s="541"/>
      <c r="G120" s="619"/>
      <c r="H120" s="626">
        <v>0</v>
      </c>
    </row>
    <row r="121" spans="2:13" ht="15.75" outlineLevel="1" thickBot="1" x14ac:dyDescent="0.25">
      <c r="B121" s="566" t="s">
        <v>413</v>
      </c>
      <c r="C121" s="540" t="s">
        <v>418</v>
      </c>
      <c r="E121" s="618"/>
      <c r="F121" s="541"/>
      <c r="G121" s="619"/>
      <c r="H121" s="626">
        <v>0</v>
      </c>
    </row>
    <row r="122" spans="2:13" ht="15.75" outlineLevel="1" thickBot="1" x14ac:dyDescent="0.25">
      <c r="B122" s="432" t="s">
        <v>450</v>
      </c>
      <c r="C122" s="612" t="s">
        <v>429</v>
      </c>
      <c r="D122" s="613"/>
      <c r="E122" s="615"/>
      <c r="F122" s="615"/>
      <c r="G122" s="616"/>
      <c r="H122" s="617">
        <f>H123</f>
        <v>0</v>
      </c>
    </row>
    <row r="123" spans="2:13" ht="15.75" outlineLevel="1" thickBot="1" x14ac:dyDescent="0.25">
      <c r="B123" s="566" t="s">
        <v>548</v>
      </c>
      <c r="C123" s="540" t="s">
        <v>549</v>
      </c>
      <c r="F123" s="644">
        <f>IF(D65&gt;=4000000,0.01,0)</f>
        <v>0</v>
      </c>
      <c r="G123" s="619"/>
      <c r="H123" s="620">
        <f>F123*D65</f>
        <v>0</v>
      </c>
    </row>
    <row r="124" spans="2:13" ht="15.75" outlineLevel="1" thickBot="1" x14ac:dyDescent="0.25">
      <c r="B124" s="432" t="s">
        <v>451</v>
      </c>
      <c r="C124" s="612" t="s">
        <v>448</v>
      </c>
      <c r="D124" s="613"/>
      <c r="E124" s="615"/>
      <c r="F124" s="615"/>
      <c r="G124" s="616"/>
      <c r="H124" s="617">
        <f>H125</f>
        <v>0</v>
      </c>
    </row>
    <row r="125" spans="2:13" ht="15.75" outlineLevel="1" thickBot="1" x14ac:dyDescent="0.25">
      <c r="B125" s="566" t="s">
        <v>550</v>
      </c>
      <c r="C125" s="540" t="s">
        <v>448</v>
      </c>
      <c r="F125" s="541"/>
      <c r="G125" s="619"/>
      <c r="H125" s="620">
        <v>0</v>
      </c>
    </row>
    <row r="126" spans="2:13" ht="15.75" outlineLevel="1" thickBot="1" x14ac:dyDescent="0.25">
      <c r="B126" s="432" t="s">
        <v>452</v>
      </c>
      <c r="C126" s="612" t="s">
        <v>453</v>
      </c>
      <c r="D126" s="613"/>
      <c r="E126" s="615"/>
      <c r="F126" s="615"/>
      <c r="G126" s="616"/>
      <c r="H126" s="617">
        <f>SUM(H127:H132)</f>
        <v>0</v>
      </c>
    </row>
    <row r="127" spans="2:13" outlineLevel="1" x14ac:dyDescent="0.2">
      <c r="B127" s="566" t="s">
        <v>482</v>
      </c>
      <c r="C127" s="540" t="s">
        <v>403</v>
      </c>
      <c r="F127" s="642" t="str">
        <f>IF(D65&gt;0,0.015,IF(SUM(H128:H131,H133,H124,H122,H105,H99,H67)*0.02&lt;500,"Fixed",IF(SUM(H128:H131,H133,H124,H122,H105,H99,H67)&gt;20000000,"Tiered",0.02)))</f>
        <v>Fixed</v>
      </c>
      <c r="G127" s="619"/>
      <c r="H127" s="620">
        <f>IF(F127="Tiered",((ProjectCost-20000000)*0.02)+(20000000*0.015),IF(H16&gt;0,0,IF(F127="Fixed",0,IF(D65&gt;0,0.015*H67,MAX(500,F127*ProjectCost)))))</f>
        <v>0</v>
      </c>
      <c r="I127" s="833"/>
      <c r="L127" s="81"/>
      <c r="M127" s="81"/>
    </row>
    <row r="128" spans="2:13" outlineLevel="1" x14ac:dyDescent="0.2">
      <c r="B128" s="566" t="s">
        <v>483</v>
      </c>
      <c r="C128" s="540" t="s">
        <v>431</v>
      </c>
      <c r="F128" s="541"/>
      <c r="G128" s="619"/>
      <c r="H128" s="620">
        <v>0</v>
      </c>
      <c r="K128" s="81"/>
    </row>
    <row r="129" spans="1:10" outlineLevel="1" x14ac:dyDescent="0.2">
      <c r="B129" s="566" t="s">
        <v>484</v>
      </c>
      <c r="C129" s="540" t="s">
        <v>30</v>
      </c>
      <c r="F129" s="541"/>
      <c r="G129" s="619"/>
      <c r="H129" s="620">
        <v>0</v>
      </c>
    </row>
    <row r="130" spans="1:10" outlineLevel="1" x14ac:dyDescent="0.2">
      <c r="B130" s="566" t="s">
        <v>430</v>
      </c>
      <c r="C130" s="540" t="s">
        <v>611</v>
      </c>
      <c r="F130" s="541"/>
      <c r="G130" s="619"/>
      <c r="H130" s="620">
        <f>IF(AND(H67&lt;=0,H105&gt;0),550,IF(AND(H67&gt;0,H105&lt;=0),550,IF(AND(H67&gt;0,H105&gt;0),1100,0)))</f>
        <v>0</v>
      </c>
    </row>
    <row r="131" spans="1:10" ht="15.75" outlineLevel="1" thickBot="1" x14ac:dyDescent="0.25">
      <c r="B131" s="566" t="s">
        <v>610</v>
      </c>
      <c r="C131" s="540" t="s">
        <v>432</v>
      </c>
      <c r="D131" s="821"/>
      <c r="E131" s="635" t="s">
        <v>500</v>
      </c>
      <c r="F131" s="654">
        <f>IF(E131="High",3.5,IF(E131="Medium",2.5,IF(E131="Low",1.5,0)))</f>
        <v>0</v>
      </c>
      <c r="H131" s="626">
        <f>IF(H16&gt;0,0,F131*D131)</f>
        <v>0</v>
      </c>
    </row>
    <row r="132" spans="1:10" ht="16.5" outlineLevel="1" thickBot="1" x14ac:dyDescent="0.25">
      <c r="B132" s="566" t="s">
        <v>605</v>
      </c>
      <c r="C132" s="540" t="s">
        <v>606</v>
      </c>
      <c r="D132" s="787" t="s">
        <v>607</v>
      </c>
      <c r="E132" s="788"/>
      <c r="F132" s="644">
        <v>0.01</v>
      </c>
      <c r="H132" s="637">
        <f>F132*H$67</f>
        <v>0</v>
      </c>
      <c r="I132" s="789" t="str">
        <f>"The Total Contingency Budgeted is "</f>
        <v xml:space="preserve">The Total Contingency Budgeted is </v>
      </c>
      <c r="J132" s="790">
        <f>SUM(F132,F134:F136)</f>
        <v>0.1</v>
      </c>
    </row>
    <row r="133" spans="1:10" ht="15.75" outlineLevel="1" thickBot="1" x14ac:dyDescent="0.25">
      <c r="B133" s="432" t="s">
        <v>454</v>
      </c>
      <c r="C133" s="612" t="s">
        <v>94</v>
      </c>
      <c r="D133" s="613"/>
      <c r="E133" s="615"/>
      <c r="F133" s="615"/>
      <c r="G133" s="616"/>
      <c r="H133" s="617">
        <f>SUM(H134:H136)</f>
        <v>0</v>
      </c>
      <c r="I133" s="898" t="str">
        <f>"Adjust the percentages for Misc (General Expenditures), Project Contingency, Construction Contingency, Risk Contingency to add up to the expected Total Contingency amount."</f>
        <v>Adjust the percentages for Misc (General Expenditures), Project Contingency, Construction Contingency, Risk Contingency to add up to the expected Total Contingency amount.</v>
      </c>
      <c r="J133" s="899"/>
    </row>
    <row r="134" spans="1:10" outlineLevel="1" x14ac:dyDescent="0.2">
      <c r="B134" s="566" t="s">
        <v>433</v>
      </c>
      <c r="C134" s="540" t="s">
        <v>436</v>
      </c>
      <c r="F134" s="642">
        <v>0.02</v>
      </c>
      <c r="G134" s="619"/>
      <c r="H134" s="620">
        <f>F134*H$67</f>
        <v>0</v>
      </c>
      <c r="I134" s="898"/>
      <c r="J134" s="899"/>
    </row>
    <row r="135" spans="1:10" outlineLevel="1" x14ac:dyDescent="0.2">
      <c r="B135" s="566" t="s">
        <v>434</v>
      </c>
      <c r="C135" s="540" t="s">
        <v>437</v>
      </c>
      <c r="D135" s="791" t="s">
        <v>608</v>
      </c>
      <c r="E135" s="650"/>
      <c r="F135" s="642">
        <v>7.0000000000000007E-2</v>
      </c>
      <c r="G135" s="643"/>
      <c r="H135" s="620">
        <f>F135*H$67</f>
        <v>0</v>
      </c>
      <c r="I135" s="898"/>
      <c r="J135" s="899"/>
    </row>
    <row r="136" spans="1:10" ht="15.75" outlineLevel="1" thickBot="1" x14ac:dyDescent="0.25">
      <c r="B136" s="566" t="s">
        <v>435</v>
      </c>
      <c r="C136" s="540" t="s">
        <v>438</v>
      </c>
      <c r="E136" s="650"/>
      <c r="F136" s="644">
        <v>0</v>
      </c>
      <c r="G136" s="643"/>
      <c r="H136" s="620">
        <f>F136*H$67</f>
        <v>0</v>
      </c>
      <c r="I136" s="898"/>
      <c r="J136" s="899"/>
    </row>
    <row r="137" spans="1:10" ht="15.75" outlineLevel="1" thickBot="1" x14ac:dyDescent="0.25">
      <c r="B137" s="432"/>
      <c r="C137" s="612" t="s">
        <v>379</v>
      </c>
      <c r="D137" s="613"/>
      <c r="E137" s="615"/>
      <c r="F137" s="615"/>
      <c r="G137" s="616"/>
      <c r="H137" s="617">
        <f>'Below The Line'!F54-'Below The Line'!F7</f>
        <v>0</v>
      </c>
      <c r="I137" s="900"/>
      <c r="J137" s="901"/>
    </row>
    <row r="138" spans="1:10" outlineLevel="1" x14ac:dyDescent="0.2">
      <c r="B138" s="667"/>
      <c r="F138" s="541"/>
      <c r="G138" s="619"/>
      <c r="H138" s="655"/>
    </row>
    <row r="139" spans="1:10" ht="15.75" collapsed="1" x14ac:dyDescent="0.25">
      <c r="A139" s="843" t="s">
        <v>493</v>
      </c>
      <c r="B139" s="843"/>
      <c r="C139" s="843"/>
      <c r="D139" s="843" t="s">
        <v>508</v>
      </c>
      <c r="E139" s="843"/>
      <c r="F139" s="843"/>
      <c r="G139" s="843"/>
      <c r="H139" s="843"/>
    </row>
    <row r="140" spans="1:10" hidden="1" outlineLevel="1" x14ac:dyDescent="0.2"/>
    <row r="141" spans="1:10" hidden="1" outlineLevel="1" x14ac:dyDescent="0.2">
      <c r="B141" s="539" t="s">
        <v>509</v>
      </c>
    </row>
    <row r="142" spans="1:10" hidden="1" outlineLevel="1" x14ac:dyDescent="0.2">
      <c r="C142" s="539" t="s">
        <v>510</v>
      </c>
      <c r="D142" s="656">
        <v>0</v>
      </c>
      <c r="E142" s="541" t="s">
        <v>69</v>
      </c>
      <c r="F142" s="657">
        <v>7</v>
      </c>
      <c r="G142" s="658">
        <f t="shared" ref="G142:G157" si="4">D142*F142</f>
        <v>0</v>
      </c>
    </row>
    <row r="143" spans="1:10" hidden="1" outlineLevel="1" x14ac:dyDescent="0.2">
      <c r="C143" s="539" t="s">
        <v>511</v>
      </c>
      <c r="D143" s="656">
        <v>0</v>
      </c>
      <c r="E143" s="541" t="s">
        <v>69</v>
      </c>
      <c r="F143" s="657">
        <v>0.75</v>
      </c>
      <c r="G143" s="658">
        <f t="shared" si="4"/>
        <v>0</v>
      </c>
    </row>
    <row r="144" spans="1:10" hidden="1" outlineLevel="1" x14ac:dyDescent="0.2">
      <c r="C144" s="539" t="s">
        <v>512</v>
      </c>
      <c r="D144" s="656">
        <v>0</v>
      </c>
      <c r="E144" s="541" t="s">
        <v>513</v>
      </c>
      <c r="F144" s="657">
        <v>775</v>
      </c>
      <c r="G144" s="658">
        <f t="shared" si="4"/>
        <v>0</v>
      </c>
    </row>
    <row r="145" spans="2:8" hidden="1" outlineLevel="1" x14ac:dyDescent="0.2">
      <c r="C145" s="539" t="s">
        <v>514</v>
      </c>
      <c r="D145" s="656">
        <v>0</v>
      </c>
      <c r="E145" s="541" t="s">
        <v>513</v>
      </c>
      <c r="F145" s="657">
        <v>775</v>
      </c>
      <c r="G145" s="658">
        <f t="shared" si="4"/>
        <v>0</v>
      </c>
    </row>
    <row r="146" spans="2:8" hidden="1" outlineLevel="1" x14ac:dyDescent="0.2">
      <c r="C146" s="539" t="s">
        <v>515</v>
      </c>
      <c r="D146" s="656">
        <v>0</v>
      </c>
      <c r="E146" s="541" t="s">
        <v>69</v>
      </c>
      <c r="F146" s="657">
        <v>9</v>
      </c>
      <c r="G146" s="658">
        <f t="shared" si="4"/>
        <v>0</v>
      </c>
    </row>
    <row r="147" spans="2:8" hidden="1" outlineLevel="1" x14ac:dyDescent="0.2">
      <c r="C147" s="539" t="s">
        <v>516</v>
      </c>
      <c r="D147" s="656">
        <v>0</v>
      </c>
      <c r="E147" s="541" t="s">
        <v>69</v>
      </c>
      <c r="F147" s="657">
        <v>10</v>
      </c>
      <c r="G147" s="658">
        <f t="shared" si="4"/>
        <v>0</v>
      </c>
    </row>
    <row r="148" spans="2:8" hidden="1" outlineLevel="1" x14ac:dyDescent="0.2">
      <c r="C148" s="539" t="s">
        <v>517</v>
      </c>
      <c r="D148" s="656">
        <v>0</v>
      </c>
      <c r="E148" s="541" t="s">
        <v>69</v>
      </c>
      <c r="F148" s="657">
        <v>2</v>
      </c>
      <c r="G148" s="658">
        <f t="shared" si="4"/>
        <v>0</v>
      </c>
    </row>
    <row r="149" spans="2:8" hidden="1" outlineLevel="1" x14ac:dyDescent="0.2">
      <c r="C149" s="539" t="s">
        <v>518</v>
      </c>
      <c r="D149" s="656">
        <v>0</v>
      </c>
      <c r="E149" s="541" t="s">
        <v>69</v>
      </c>
      <c r="F149" s="657">
        <v>7.5</v>
      </c>
      <c r="G149" s="658">
        <f t="shared" si="4"/>
        <v>0</v>
      </c>
    </row>
    <row r="150" spans="2:8" hidden="1" outlineLevel="1" x14ac:dyDescent="0.2">
      <c r="C150" s="539" t="s">
        <v>519</v>
      </c>
      <c r="D150" s="656">
        <v>0</v>
      </c>
      <c r="E150" s="541" t="s">
        <v>513</v>
      </c>
      <c r="F150" s="657">
        <v>7000</v>
      </c>
      <c r="G150" s="658">
        <f t="shared" si="4"/>
        <v>0</v>
      </c>
      <c r="H150" s="659"/>
    </row>
    <row r="151" spans="2:8" hidden="1" outlineLevel="1" x14ac:dyDescent="0.2">
      <c r="C151" s="539" t="s">
        <v>520</v>
      </c>
      <c r="D151" s="656">
        <v>0</v>
      </c>
      <c r="E151" s="541" t="s">
        <v>513</v>
      </c>
      <c r="F151" s="657">
        <v>1000</v>
      </c>
      <c r="G151" s="658">
        <f t="shared" si="4"/>
        <v>0</v>
      </c>
      <c r="H151" s="659"/>
    </row>
    <row r="152" spans="2:8" hidden="1" outlineLevel="1" x14ac:dyDescent="0.2">
      <c r="C152" s="539" t="s">
        <v>560</v>
      </c>
      <c r="D152" s="656">
        <v>0</v>
      </c>
      <c r="E152" s="541" t="s">
        <v>69</v>
      </c>
      <c r="F152" s="657">
        <v>1.5</v>
      </c>
      <c r="G152" s="658">
        <f t="shared" si="4"/>
        <v>0</v>
      </c>
      <c r="H152" s="659"/>
    </row>
    <row r="153" spans="2:8" hidden="1" outlineLevel="1" x14ac:dyDescent="0.2">
      <c r="C153" s="539" t="s">
        <v>521</v>
      </c>
      <c r="D153" s="656">
        <v>0</v>
      </c>
      <c r="E153" s="541" t="s">
        <v>513</v>
      </c>
      <c r="F153" s="657">
        <v>500</v>
      </c>
      <c r="G153" s="658">
        <f t="shared" si="4"/>
        <v>0</v>
      </c>
      <c r="H153" s="659"/>
    </row>
    <row r="154" spans="2:8" hidden="1" outlineLevel="1" x14ac:dyDescent="0.2">
      <c r="C154" s="539" t="s">
        <v>522</v>
      </c>
      <c r="D154" s="656">
        <v>0</v>
      </c>
      <c r="E154" s="541" t="s">
        <v>69</v>
      </c>
      <c r="F154" s="657">
        <v>3</v>
      </c>
      <c r="G154" s="658">
        <f t="shared" si="4"/>
        <v>0</v>
      </c>
      <c r="H154" s="659"/>
    </row>
    <row r="155" spans="2:8" hidden="1" outlineLevel="1" x14ac:dyDescent="0.2">
      <c r="C155" s="539" t="s">
        <v>523</v>
      </c>
      <c r="D155" s="656">
        <v>0</v>
      </c>
      <c r="E155" s="541" t="s">
        <v>513</v>
      </c>
      <c r="F155" s="657">
        <v>7000</v>
      </c>
      <c r="G155" s="658">
        <f t="shared" si="4"/>
        <v>0</v>
      </c>
      <c r="H155" s="659"/>
    </row>
    <row r="156" spans="2:8" hidden="1" outlineLevel="1" x14ac:dyDescent="0.2">
      <c r="C156" s="539" t="s">
        <v>524</v>
      </c>
      <c r="D156" s="656">
        <v>0</v>
      </c>
      <c r="E156" s="541" t="s">
        <v>513</v>
      </c>
      <c r="F156" s="657">
        <v>7000</v>
      </c>
      <c r="G156" s="658">
        <f t="shared" si="4"/>
        <v>0</v>
      </c>
      <c r="H156" s="659"/>
    </row>
    <row r="157" spans="2:8" hidden="1" outlineLevel="1" x14ac:dyDescent="0.2">
      <c r="C157" s="539" t="s">
        <v>525</v>
      </c>
      <c r="D157" s="656">
        <v>0</v>
      </c>
      <c r="E157" s="541" t="s">
        <v>513</v>
      </c>
      <c r="F157" s="657">
        <v>21000</v>
      </c>
      <c r="G157" s="658">
        <f t="shared" si="4"/>
        <v>0</v>
      </c>
      <c r="H157" s="659"/>
    </row>
    <row r="158" spans="2:8" ht="15.75" hidden="1" outlineLevel="1" thickBot="1" x14ac:dyDescent="0.25">
      <c r="C158" s="640" t="s">
        <v>526</v>
      </c>
      <c r="D158" s="660">
        <v>1</v>
      </c>
      <c r="E158" s="661" t="s">
        <v>527</v>
      </c>
      <c r="F158" s="662">
        <v>0.1</v>
      </c>
      <c r="G158" s="663">
        <f>SUM(G142:G157)*F158</f>
        <v>0</v>
      </c>
      <c r="H158" s="659"/>
    </row>
    <row r="159" spans="2:8" hidden="1" outlineLevel="1" x14ac:dyDescent="0.2">
      <c r="E159" s="539"/>
      <c r="G159" s="542">
        <f>SUM(G142:G158)</f>
        <v>0</v>
      </c>
      <c r="H159" s="847" t="s">
        <v>528</v>
      </c>
    </row>
    <row r="160" spans="2:8" ht="15.75" hidden="1" outlineLevel="1" thickBot="1" x14ac:dyDescent="0.25">
      <c r="B160" s="539" t="s">
        <v>364</v>
      </c>
      <c r="H160" s="848"/>
    </row>
    <row r="161" spans="3:8" hidden="1" outlineLevel="1" x14ac:dyDescent="0.2">
      <c r="C161" s="539" t="s">
        <v>510</v>
      </c>
      <c r="D161" s="656">
        <v>0</v>
      </c>
      <c r="E161" s="541" t="s">
        <v>69</v>
      </c>
      <c r="F161" s="657">
        <v>7</v>
      </c>
      <c r="G161" s="658">
        <f t="shared" ref="G161:G176" si="5">D161*F161</f>
        <v>0</v>
      </c>
      <c r="H161" s="659"/>
    </row>
    <row r="162" spans="3:8" hidden="1" outlineLevel="1" x14ac:dyDescent="0.2">
      <c r="C162" s="539" t="s">
        <v>511</v>
      </c>
      <c r="D162" s="656">
        <v>0</v>
      </c>
      <c r="E162" s="541" t="s">
        <v>69</v>
      </c>
      <c r="F162" s="657">
        <v>0.75</v>
      </c>
      <c r="G162" s="658">
        <f t="shared" si="5"/>
        <v>0</v>
      </c>
      <c r="H162" s="659"/>
    </row>
    <row r="163" spans="3:8" hidden="1" outlineLevel="1" x14ac:dyDescent="0.2">
      <c r="C163" s="539" t="s">
        <v>512</v>
      </c>
      <c r="D163" s="656">
        <v>0</v>
      </c>
      <c r="E163" s="541" t="s">
        <v>513</v>
      </c>
      <c r="F163" s="657">
        <v>775</v>
      </c>
      <c r="G163" s="658">
        <f t="shared" si="5"/>
        <v>0</v>
      </c>
      <c r="H163" s="659"/>
    </row>
    <row r="164" spans="3:8" hidden="1" outlineLevel="1" x14ac:dyDescent="0.2">
      <c r="C164" s="539" t="s">
        <v>514</v>
      </c>
      <c r="D164" s="656">
        <v>0</v>
      </c>
      <c r="E164" s="541" t="s">
        <v>513</v>
      </c>
      <c r="F164" s="657">
        <v>775</v>
      </c>
      <c r="G164" s="658">
        <f t="shared" si="5"/>
        <v>0</v>
      </c>
      <c r="H164" s="659"/>
    </row>
    <row r="165" spans="3:8" hidden="1" outlineLevel="1" x14ac:dyDescent="0.2">
      <c r="C165" s="539" t="s">
        <v>515</v>
      </c>
      <c r="D165" s="656">
        <v>0</v>
      </c>
      <c r="E165" s="541" t="s">
        <v>69</v>
      </c>
      <c r="F165" s="657">
        <v>9</v>
      </c>
      <c r="G165" s="658">
        <f t="shared" si="5"/>
        <v>0</v>
      </c>
      <c r="H165" s="659"/>
    </row>
    <row r="166" spans="3:8" hidden="1" outlineLevel="1" x14ac:dyDescent="0.2">
      <c r="C166" s="539" t="s">
        <v>516</v>
      </c>
      <c r="D166" s="656">
        <v>0</v>
      </c>
      <c r="E166" s="541" t="s">
        <v>69</v>
      </c>
      <c r="F166" s="657">
        <v>10</v>
      </c>
      <c r="G166" s="658">
        <f t="shared" si="5"/>
        <v>0</v>
      </c>
      <c r="H166" s="659"/>
    </row>
    <row r="167" spans="3:8" hidden="1" outlineLevel="1" x14ac:dyDescent="0.2">
      <c r="C167" s="539" t="s">
        <v>517</v>
      </c>
      <c r="D167" s="656">
        <v>0</v>
      </c>
      <c r="E167" s="541" t="s">
        <v>69</v>
      </c>
      <c r="F167" s="657">
        <v>2</v>
      </c>
      <c r="G167" s="658">
        <f t="shared" si="5"/>
        <v>0</v>
      </c>
      <c r="H167" s="659"/>
    </row>
    <row r="168" spans="3:8" hidden="1" outlineLevel="1" x14ac:dyDescent="0.2">
      <c r="C168" s="539" t="s">
        <v>518</v>
      </c>
      <c r="D168" s="656">
        <v>0</v>
      </c>
      <c r="E168" s="541" t="s">
        <v>69</v>
      </c>
      <c r="F168" s="657">
        <v>7.5</v>
      </c>
      <c r="G168" s="658">
        <f t="shared" si="5"/>
        <v>0</v>
      </c>
      <c r="H168" s="659"/>
    </row>
    <row r="169" spans="3:8" hidden="1" outlineLevel="1" x14ac:dyDescent="0.2">
      <c r="C169" s="539" t="s">
        <v>519</v>
      </c>
      <c r="D169" s="656">
        <v>0</v>
      </c>
      <c r="E169" s="541" t="s">
        <v>513</v>
      </c>
      <c r="F169" s="657">
        <v>7000</v>
      </c>
      <c r="G169" s="658">
        <f t="shared" si="5"/>
        <v>0</v>
      </c>
      <c r="H169" s="659"/>
    </row>
    <row r="170" spans="3:8" hidden="1" outlineLevel="1" x14ac:dyDescent="0.2">
      <c r="C170" s="539" t="s">
        <v>520</v>
      </c>
      <c r="D170" s="656">
        <v>0</v>
      </c>
      <c r="E170" s="541" t="s">
        <v>513</v>
      </c>
      <c r="F170" s="657">
        <v>1000</v>
      </c>
      <c r="G170" s="658">
        <f t="shared" si="5"/>
        <v>0</v>
      </c>
      <c r="H170" s="659"/>
    </row>
    <row r="171" spans="3:8" hidden="1" outlineLevel="1" x14ac:dyDescent="0.2">
      <c r="C171" s="539" t="s">
        <v>560</v>
      </c>
      <c r="D171" s="656">
        <v>0</v>
      </c>
      <c r="E171" s="541" t="s">
        <v>69</v>
      </c>
      <c r="F171" s="657">
        <v>1.5</v>
      </c>
      <c r="G171" s="658">
        <f t="shared" si="5"/>
        <v>0</v>
      </c>
      <c r="H171" s="659"/>
    </row>
    <row r="172" spans="3:8" hidden="1" outlineLevel="1" x14ac:dyDescent="0.2">
      <c r="C172" s="539" t="s">
        <v>521</v>
      </c>
      <c r="D172" s="656">
        <v>0</v>
      </c>
      <c r="E172" s="541" t="s">
        <v>513</v>
      </c>
      <c r="F172" s="657">
        <v>500</v>
      </c>
      <c r="G172" s="658">
        <f t="shared" si="5"/>
        <v>0</v>
      </c>
    </row>
    <row r="173" spans="3:8" hidden="1" outlineLevel="1" x14ac:dyDescent="0.2">
      <c r="C173" s="539" t="s">
        <v>522</v>
      </c>
      <c r="D173" s="656">
        <v>0</v>
      </c>
      <c r="E173" s="541" t="s">
        <v>69</v>
      </c>
      <c r="F173" s="657">
        <v>3</v>
      </c>
      <c r="G173" s="658">
        <f t="shared" si="5"/>
        <v>0</v>
      </c>
    </row>
    <row r="174" spans="3:8" hidden="1" outlineLevel="1" x14ac:dyDescent="0.2">
      <c r="C174" s="539" t="s">
        <v>523</v>
      </c>
      <c r="D174" s="656">
        <v>0</v>
      </c>
      <c r="E174" s="541" t="s">
        <v>513</v>
      </c>
      <c r="F174" s="657">
        <v>7000</v>
      </c>
      <c r="G174" s="658">
        <f t="shared" si="5"/>
        <v>0</v>
      </c>
    </row>
    <row r="175" spans="3:8" hidden="1" outlineLevel="1" x14ac:dyDescent="0.2">
      <c r="C175" s="539" t="s">
        <v>524</v>
      </c>
      <c r="D175" s="656">
        <v>0</v>
      </c>
      <c r="E175" s="541" t="s">
        <v>513</v>
      </c>
      <c r="F175" s="657">
        <v>7000</v>
      </c>
      <c r="G175" s="658">
        <f t="shared" si="5"/>
        <v>0</v>
      </c>
    </row>
    <row r="176" spans="3:8" hidden="1" outlineLevel="1" x14ac:dyDescent="0.2">
      <c r="C176" s="539" t="s">
        <v>525</v>
      </c>
      <c r="D176" s="656">
        <v>0</v>
      </c>
      <c r="E176" s="541" t="s">
        <v>513</v>
      </c>
      <c r="F176" s="657">
        <v>21000</v>
      </c>
      <c r="G176" s="658">
        <f t="shared" si="5"/>
        <v>0</v>
      </c>
    </row>
    <row r="177" spans="2:8" ht="15.75" hidden="1" outlineLevel="1" thickBot="1" x14ac:dyDescent="0.25">
      <c r="C177" s="640" t="s">
        <v>526</v>
      </c>
      <c r="D177" s="660">
        <v>1</v>
      </c>
      <c r="E177" s="661" t="s">
        <v>527</v>
      </c>
      <c r="F177" s="662">
        <v>0.1</v>
      </c>
      <c r="G177" s="663">
        <f>SUM(G161:G176)*F177</f>
        <v>0</v>
      </c>
    </row>
    <row r="178" spans="2:8" hidden="1" outlineLevel="1" x14ac:dyDescent="0.2">
      <c r="E178" s="539"/>
      <c r="G178" s="542">
        <f>SUM(G161:G177)</f>
        <v>0</v>
      </c>
      <c r="H178" s="847" t="s">
        <v>529</v>
      </c>
    </row>
    <row r="179" spans="2:8" ht="15.75" hidden="1" outlineLevel="1" thickBot="1" x14ac:dyDescent="0.25">
      <c r="B179" s="539" t="s">
        <v>365</v>
      </c>
      <c r="H179" s="848"/>
    </row>
    <row r="180" spans="2:8" hidden="1" outlineLevel="1" x14ac:dyDescent="0.2">
      <c r="C180" s="539" t="s">
        <v>510</v>
      </c>
      <c r="D180" s="656">
        <v>0</v>
      </c>
      <c r="E180" s="541" t="s">
        <v>69</v>
      </c>
      <c r="F180" s="657">
        <v>7</v>
      </c>
      <c r="G180" s="658">
        <f t="shared" ref="G180:G195" si="6">D180*F180</f>
        <v>0</v>
      </c>
    </row>
    <row r="181" spans="2:8" hidden="1" outlineLevel="1" x14ac:dyDescent="0.2">
      <c r="C181" s="539" t="s">
        <v>511</v>
      </c>
      <c r="D181" s="656">
        <v>0</v>
      </c>
      <c r="E181" s="541" t="s">
        <v>69</v>
      </c>
      <c r="F181" s="657">
        <v>0.75</v>
      </c>
      <c r="G181" s="658">
        <f t="shared" si="6"/>
        <v>0</v>
      </c>
    </row>
    <row r="182" spans="2:8" hidden="1" outlineLevel="1" x14ac:dyDescent="0.2">
      <c r="C182" s="539" t="s">
        <v>512</v>
      </c>
      <c r="D182" s="656">
        <v>0</v>
      </c>
      <c r="E182" s="541" t="s">
        <v>513</v>
      </c>
      <c r="F182" s="657">
        <v>775</v>
      </c>
      <c r="G182" s="658">
        <f t="shared" si="6"/>
        <v>0</v>
      </c>
    </row>
    <row r="183" spans="2:8" hidden="1" outlineLevel="1" x14ac:dyDescent="0.2">
      <c r="C183" s="539" t="s">
        <v>514</v>
      </c>
      <c r="D183" s="656">
        <v>0</v>
      </c>
      <c r="E183" s="541" t="s">
        <v>513</v>
      </c>
      <c r="F183" s="657">
        <v>775</v>
      </c>
      <c r="G183" s="658">
        <f t="shared" si="6"/>
        <v>0</v>
      </c>
    </row>
    <row r="184" spans="2:8" hidden="1" outlineLevel="1" x14ac:dyDescent="0.2">
      <c r="C184" s="539" t="s">
        <v>515</v>
      </c>
      <c r="D184" s="656">
        <v>0</v>
      </c>
      <c r="E184" s="541" t="s">
        <v>69</v>
      </c>
      <c r="F184" s="657">
        <v>9</v>
      </c>
      <c r="G184" s="658">
        <f t="shared" si="6"/>
        <v>0</v>
      </c>
    </row>
    <row r="185" spans="2:8" hidden="1" outlineLevel="1" x14ac:dyDescent="0.2">
      <c r="C185" s="539" t="s">
        <v>516</v>
      </c>
      <c r="D185" s="656">
        <v>0</v>
      </c>
      <c r="E185" s="541" t="s">
        <v>69</v>
      </c>
      <c r="F185" s="657">
        <v>10</v>
      </c>
      <c r="G185" s="658">
        <f t="shared" si="6"/>
        <v>0</v>
      </c>
    </row>
    <row r="186" spans="2:8" hidden="1" outlineLevel="1" x14ac:dyDescent="0.2">
      <c r="C186" s="539" t="s">
        <v>517</v>
      </c>
      <c r="D186" s="656">
        <v>0</v>
      </c>
      <c r="E186" s="541" t="s">
        <v>69</v>
      </c>
      <c r="F186" s="657">
        <v>2</v>
      </c>
      <c r="G186" s="658">
        <f t="shared" si="6"/>
        <v>0</v>
      </c>
    </row>
    <row r="187" spans="2:8" hidden="1" outlineLevel="1" x14ac:dyDescent="0.2">
      <c r="C187" s="539" t="s">
        <v>518</v>
      </c>
      <c r="D187" s="656">
        <v>0</v>
      </c>
      <c r="E187" s="541" t="s">
        <v>69</v>
      </c>
      <c r="F187" s="657">
        <v>7.5</v>
      </c>
      <c r="G187" s="658">
        <f t="shared" si="6"/>
        <v>0</v>
      </c>
    </row>
    <row r="188" spans="2:8" hidden="1" outlineLevel="1" x14ac:dyDescent="0.2">
      <c r="C188" s="539" t="s">
        <v>519</v>
      </c>
      <c r="D188" s="656">
        <v>0</v>
      </c>
      <c r="E188" s="541" t="s">
        <v>513</v>
      </c>
      <c r="F188" s="657">
        <v>7000</v>
      </c>
      <c r="G188" s="658">
        <f t="shared" si="6"/>
        <v>0</v>
      </c>
    </row>
    <row r="189" spans="2:8" hidden="1" outlineLevel="1" x14ac:dyDescent="0.2">
      <c r="C189" s="539" t="s">
        <v>520</v>
      </c>
      <c r="D189" s="656">
        <v>0</v>
      </c>
      <c r="E189" s="541" t="s">
        <v>513</v>
      </c>
      <c r="F189" s="657">
        <v>1000</v>
      </c>
      <c r="G189" s="658">
        <f t="shared" si="6"/>
        <v>0</v>
      </c>
    </row>
    <row r="190" spans="2:8" hidden="1" outlineLevel="1" x14ac:dyDescent="0.2">
      <c r="C190" s="539" t="s">
        <v>560</v>
      </c>
      <c r="D190" s="656">
        <v>0</v>
      </c>
      <c r="E190" s="541" t="s">
        <v>69</v>
      </c>
      <c r="F190" s="657">
        <v>1.5</v>
      </c>
      <c r="G190" s="658">
        <f t="shared" si="6"/>
        <v>0</v>
      </c>
    </row>
    <row r="191" spans="2:8" hidden="1" outlineLevel="1" x14ac:dyDescent="0.2">
      <c r="C191" s="539" t="s">
        <v>521</v>
      </c>
      <c r="D191" s="656">
        <v>0</v>
      </c>
      <c r="E191" s="541" t="s">
        <v>513</v>
      </c>
      <c r="F191" s="657">
        <v>500</v>
      </c>
      <c r="G191" s="658">
        <f t="shared" si="6"/>
        <v>0</v>
      </c>
    </row>
    <row r="192" spans="2:8" hidden="1" outlineLevel="1" x14ac:dyDescent="0.2">
      <c r="C192" s="539" t="s">
        <v>522</v>
      </c>
      <c r="D192" s="656">
        <v>0</v>
      </c>
      <c r="E192" s="541" t="s">
        <v>69</v>
      </c>
      <c r="F192" s="657">
        <v>3</v>
      </c>
      <c r="G192" s="658">
        <f t="shared" si="6"/>
        <v>0</v>
      </c>
    </row>
    <row r="193" spans="2:8" hidden="1" outlineLevel="1" x14ac:dyDescent="0.2">
      <c r="C193" s="539" t="s">
        <v>523</v>
      </c>
      <c r="D193" s="656">
        <v>0</v>
      </c>
      <c r="E193" s="541" t="s">
        <v>513</v>
      </c>
      <c r="F193" s="657">
        <v>7000</v>
      </c>
      <c r="G193" s="658">
        <f t="shared" si="6"/>
        <v>0</v>
      </c>
    </row>
    <row r="194" spans="2:8" hidden="1" outlineLevel="1" x14ac:dyDescent="0.2">
      <c r="C194" s="539" t="s">
        <v>524</v>
      </c>
      <c r="D194" s="656">
        <v>0</v>
      </c>
      <c r="E194" s="541" t="s">
        <v>513</v>
      </c>
      <c r="F194" s="657">
        <v>7000</v>
      </c>
      <c r="G194" s="658">
        <f t="shared" si="6"/>
        <v>0</v>
      </c>
    </row>
    <row r="195" spans="2:8" hidden="1" outlineLevel="1" x14ac:dyDescent="0.2">
      <c r="C195" s="539" t="s">
        <v>525</v>
      </c>
      <c r="D195" s="656">
        <v>0</v>
      </c>
      <c r="E195" s="541" t="s">
        <v>513</v>
      </c>
      <c r="F195" s="657">
        <v>21000</v>
      </c>
      <c r="G195" s="658">
        <f t="shared" si="6"/>
        <v>0</v>
      </c>
    </row>
    <row r="196" spans="2:8" ht="15.75" hidden="1" outlineLevel="1" thickBot="1" x14ac:dyDescent="0.25">
      <c r="C196" s="640" t="s">
        <v>526</v>
      </c>
      <c r="D196" s="660">
        <v>1</v>
      </c>
      <c r="E196" s="661" t="s">
        <v>527</v>
      </c>
      <c r="F196" s="662">
        <v>0.1</v>
      </c>
      <c r="G196" s="663">
        <f>SUM(G180:G195)*F196</f>
        <v>0</v>
      </c>
    </row>
    <row r="197" spans="2:8" hidden="1" outlineLevel="1" x14ac:dyDescent="0.2">
      <c r="E197" s="539"/>
      <c r="G197" s="542">
        <f>SUM(G180:G196)</f>
        <v>0</v>
      </c>
      <c r="H197" s="847" t="s">
        <v>529</v>
      </c>
    </row>
    <row r="198" spans="2:8" ht="15.75" hidden="1" outlineLevel="1" thickBot="1" x14ac:dyDescent="0.25">
      <c r="B198" s="539" t="s">
        <v>366</v>
      </c>
      <c r="H198" s="848"/>
    </row>
    <row r="199" spans="2:8" hidden="1" outlineLevel="1" x14ac:dyDescent="0.2">
      <c r="C199" s="539" t="s">
        <v>510</v>
      </c>
      <c r="D199" s="656">
        <v>0</v>
      </c>
      <c r="E199" s="541" t="s">
        <v>69</v>
      </c>
      <c r="F199" s="657">
        <v>7</v>
      </c>
      <c r="G199" s="658">
        <f t="shared" ref="G199:G214" si="7">D199*F199</f>
        <v>0</v>
      </c>
    </row>
    <row r="200" spans="2:8" hidden="1" outlineLevel="1" x14ac:dyDescent="0.2">
      <c r="C200" s="539" t="s">
        <v>511</v>
      </c>
      <c r="D200" s="656">
        <v>0</v>
      </c>
      <c r="E200" s="541" t="s">
        <v>69</v>
      </c>
      <c r="F200" s="657">
        <v>0.75</v>
      </c>
      <c r="G200" s="658">
        <f t="shared" si="7"/>
        <v>0</v>
      </c>
    </row>
    <row r="201" spans="2:8" hidden="1" outlineLevel="1" x14ac:dyDescent="0.2">
      <c r="C201" s="539" t="s">
        <v>512</v>
      </c>
      <c r="D201" s="656">
        <v>0</v>
      </c>
      <c r="E201" s="541" t="s">
        <v>513</v>
      </c>
      <c r="F201" s="657">
        <v>775</v>
      </c>
      <c r="G201" s="658">
        <f t="shared" si="7"/>
        <v>0</v>
      </c>
    </row>
    <row r="202" spans="2:8" hidden="1" outlineLevel="1" x14ac:dyDescent="0.2">
      <c r="C202" s="539" t="s">
        <v>514</v>
      </c>
      <c r="D202" s="656">
        <v>0</v>
      </c>
      <c r="E202" s="541" t="s">
        <v>513</v>
      </c>
      <c r="F202" s="657">
        <v>775</v>
      </c>
      <c r="G202" s="658">
        <f t="shared" si="7"/>
        <v>0</v>
      </c>
    </row>
    <row r="203" spans="2:8" hidden="1" outlineLevel="1" x14ac:dyDescent="0.2">
      <c r="C203" s="539" t="s">
        <v>515</v>
      </c>
      <c r="D203" s="656">
        <v>0</v>
      </c>
      <c r="E203" s="541" t="s">
        <v>69</v>
      </c>
      <c r="F203" s="657">
        <v>9</v>
      </c>
      <c r="G203" s="658">
        <f t="shared" si="7"/>
        <v>0</v>
      </c>
    </row>
    <row r="204" spans="2:8" hidden="1" outlineLevel="1" x14ac:dyDescent="0.2">
      <c r="C204" s="539" t="s">
        <v>516</v>
      </c>
      <c r="D204" s="656">
        <v>0</v>
      </c>
      <c r="E204" s="541" t="s">
        <v>69</v>
      </c>
      <c r="F204" s="657">
        <v>10</v>
      </c>
      <c r="G204" s="658">
        <f t="shared" si="7"/>
        <v>0</v>
      </c>
    </row>
    <row r="205" spans="2:8" hidden="1" outlineLevel="1" x14ac:dyDescent="0.2">
      <c r="C205" s="539" t="s">
        <v>517</v>
      </c>
      <c r="D205" s="656">
        <v>0</v>
      </c>
      <c r="E205" s="541" t="s">
        <v>69</v>
      </c>
      <c r="F205" s="657">
        <v>2</v>
      </c>
      <c r="G205" s="658">
        <f t="shared" si="7"/>
        <v>0</v>
      </c>
    </row>
    <row r="206" spans="2:8" hidden="1" outlineLevel="1" x14ac:dyDescent="0.2">
      <c r="C206" s="539" t="s">
        <v>518</v>
      </c>
      <c r="D206" s="656">
        <v>0</v>
      </c>
      <c r="E206" s="541" t="s">
        <v>69</v>
      </c>
      <c r="F206" s="657">
        <v>7.5</v>
      </c>
      <c r="G206" s="658">
        <f t="shared" si="7"/>
        <v>0</v>
      </c>
    </row>
    <row r="207" spans="2:8" hidden="1" outlineLevel="1" x14ac:dyDescent="0.2">
      <c r="C207" s="539" t="s">
        <v>519</v>
      </c>
      <c r="D207" s="656">
        <v>0</v>
      </c>
      <c r="E207" s="541" t="s">
        <v>513</v>
      </c>
      <c r="F207" s="657">
        <v>7000</v>
      </c>
      <c r="G207" s="658">
        <f t="shared" si="7"/>
        <v>0</v>
      </c>
    </row>
    <row r="208" spans="2:8" hidden="1" outlineLevel="1" x14ac:dyDescent="0.2">
      <c r="C208" s="539" t="s">
        <v>520</v>
      </c>
      <c r="D208" s="656">
        <v>0</v>
      </c>
      <c r="E208" s="541" t="s">
        <v>513</v>
      </c>
      <c r="F208" s="657">
        <v>1000</v>
      </c>
      <c r="G208" s="658">
        <f t="shared" si="7"/>
        <v>0</v>
      </c>
    </row>
    <row r="209" spans="2:8" hidden="1" outlineLevel="1" x14ac:dyDescent="0.2">
      <c r="C209" s="539" t="s">
        <v>560</v>
      </c>
      <c r="D209" s="656">
        <v>0</v>
      </c>
      <c r="E209" s="541" t="s">
        <v>69</v>
      </c>
      <c r="F209" s="657">
        <v>1.5</v>
      </c>
      <c r="G209" s="658">
        <f t="shared" si="7"/>
        <v>0</v>
      </c>
    </row>
    <row r="210" spans="2:8" hidden="1" outlineLevel="1" x14ac:dyDescent="0.2">
      <c r="C210" s="539" t="s">
        <v>521</v>
      </c>
      <c r="D210" s="656">
        <v>0</v>
      </c>
      <c r="E210" s="541" t="s">
        <v>513</v>
      </c>
      <c r="F210" s="657">
        <v>500</v>
      </c>
      <c r="G210" s="658">
        <f t="shared" si="7"/>
        <v>0</v>
      </c>
    </row>
    <row r="211" spans="2:8" hidden="1" outlineLevel="1" x14ac:dyDescent="0.2">
      <c r="C211" s="539" t="s">
        <v>522</v>
      </c>
      <c r="D211" s="656">
        <v>0</v>
      </c>
      <c r="E211" s="541" t="s">
        <v>69</v>
      </c>
      <c r="F211" s="657">
        <v>3</v>
      </c>
      <c r="G211" s="658">
        <f t="shared" si="7"/>
        <v>0</v>
      </c>
    </row>
    <row r="212" spans="2:8" hidden="1" outlineLevel="1" x14ac:dyDescent="0.2">
      <c r="C212" s="539" t="s">
        <v>523</v>
      </c>
      <c r="D212" s="656">
        <v>0</v>
      </c>
      <c r="E212" s="541" t="s">
        <v>513</v>
      </c>
      <c r="F212" s="657">
        <v>7000</v>
      </c>
      <c r="G212" s="658">
        <f t="shared" si="7"/>
        <v>0</v>
      </c>
    </row>
    <row r="213" spans="2:8" hidden="1" outlineLevel="1" x14ac:dyDescent="0.2">
      <c r="C213" s="539" t="s">
        <v>524</v>
      </c>
      <c r="D213" s="656">
        <v>0</v>
      </c>
      <c r="E213" s="541" t="s">
        <v>513</v>
      </c>
      <c r="F213" s="657">
        <v>7000</v>
      </c>
      <c r="G213" s="658">
        <f t="shared" si="7"/>
        <v>0</v>
      </c>
    </row>
    <row r="214" spans="2:8" hidden="1" outlineLevel="1" x14ac:dyDescent="0.2">
      <c r="C214" s="539" t="s">
        <v>525</v>
      </c>
      <c r="D214" s="656">
        <v>0</v>
      </c>
      <c r="E214" s="541" t="s">
        <v>513</v>
      </c>
      <c r="F214" s="657">
        <v>21000</v>
      </c>
      <c r="G214" s="658">
        <f t="shared" si="7"/>
        <v>0</v>
      </c>
    </row>
    <row r="215" spans="2:8" ht="15.75" hidden="1" outlineLevel="1" thickBot="1" x14ac:dyDescent="0.25">
      <c r="C215" s="640" t="s">
        <v>526</v>
      </c>
      <c r="D215" s="660">
        <v>1</v>
      </c>
      <c r="E215" s="661" t="s">
        <v>527</v>
      </c>
      <c r="F215" s="662">
        <v>0.1</v>
      </c>
      <c r="G215" s="663">
        <f>SUM(G199:G214)*F215</f>
        <v>0</v>
      </c>
    </row>
    <row r="216" spans="2:8" hidden="1" outlineLevel="1" x14ac:dyDescent="0.2">
      <c r="E216" s="539"/>
      <c r="G216" s="542">
        <f>SUM(G199:G215)</f>
        <v>0</v>
      </c>
      <c r="H216" s="847" t="s">
        <v>529</v>
      </c>
    </row>
    <row r="217" spans="2:8" ht="15.75" hidden="1" outlineLevel="1" thickBot="1" x14ac:dyDescent="0.25">
      <c r="B217" s="539" t="s">
        <v>394</v>
      </c>
      <c r="H217" s="848"/>
    </row>
    <row r="218" spans="2:8" hidden="1" outlineLevel="1" x14ac:dyDescent="0.2">
      <c r="C218" s="539" t="s">
        <v>510</v>
      </c>
      <c r="D218" s="656">
        <v>0</v>
      </c>
      <c r="E218" s="541" t="s">
        <v>69</v>
      </c>
      <c r="F218" s="657">
        <v>7</v>
      </c>
      <c r="G218" s="658">
        <f t="shared" ref="G218:G233" si="8">D218*F218</f>
        <v>0</v>
      </c>
    </row>
    <row r="219" spans="2:8" hidden="1" outlineLevel="1" x14ac:dyDescent="0.2">
      <c r="C219" s="539" t="s">
        <v>511</v>
      </c>
      <c r="D219" s="656">
        <v>0</v>
      </c>
      <c r="E219" s="541" t="s">
        <v>69</v>
      </c>
      <c r="F219" s="657">
        <v>0.75</v>
      </c>
      <c r="G219" s="658">
        <f t="shared" si="8"/>
        <v>0</v>
      </c>
    </row>
    <row r="220" spans="2:8" hidden="1" outlineLevel="1" x14ac:dyDescent="0.2">
      <c r="C220" s="539" t="s">
        <v>512</v>
      </c>
      <c r="D220" s="656">
        <v>0</v>
      </c>
      <c r="E220" s="541" t="s">
        <v>513</v>
      </c>
      <c r="F220" s="657">
        <v>775</v>
      </c>
      <c r="G220" s="658">
        <f t="shared" si="8"/>
        <v>0</v>
      </c>
    </row>
    <row r="221" spans="2:8" hidden="1" outlineLevel="1" x14ac:dyDescent="0.2">
      <c r="C221" s="539" t="s">
        <v>514</v>
      </c>
      <c r="D221" s="656">
        <v>0</v>
      </c>
      <c r="E221" s="541" t="s">
        <v>513</v>
      </c>
      <c r="F221" s="657">
        <v>775</v>
      </c>
      <c r="G221" s="658">
        <f t="shared" si="8"/>
        <v>0</v>
      </c>
    </row>
    <row r="222" spans="2:8" hidden="1" outlineLevel="1" x14ac:dyDescent="0.2">
      <c r="C222" s="539" t="s">
        <v>515</v>
      </c>
      <c r="D222" s="656">
        <v>0</v>
      </c>
      <c r="E222" s="541" t="s">
        <v>69</v>
      </c>
      <c r="F222" s="657">
        <v>9</v>
      </c>
      <c r="G222" s="658">
        <f t="shared" si="8"/>
        <v>0</v>
      </c>
    </row>
    <row r="223" spans="2:8" hidden="1" outlineLevel="1" x14ac:dyDescent="0.2">
      <c r="C223" s="539" t="s">
        <v>516</v>
      </c>
      <c r="D223" s="656">
        <v>0</v>
      </c>
      <c r="E223" s="541" t="s">
        <v>69</v>
      </c>
      <c r="F223" s="657">
        <v>10</v>
      </c>
      <c r="G223" s="658">
        <f t="shared" si="8"/>
        <v>0</v>
      </c>
    </row>
    <row r="224" spans="2:8" hidden="1" outlineLevel="1" x14ac:dyDescent="0.2">
      <c r="C224" s="539" t="s">
        <v>517</v>
      </c>
      <c r="D224" s="656">
        <v>0</v>
      </c>
      <c r="E224" s="541" t="s">
        <v>69</v>
      </c>
      <c r="F224" s="657">
        <v>2</v>
      </c>
      <c r="G224" s="658">
        <f t="shared" si="8"/>
        <v>0</v>
      </c>
    </row>
    <row r="225" spans="2:8" hidden="1" outlineLevel="1" x14ac:dyDescent="0.2">
      <c r="C225" s="539" t="s">
        <v>518</v>
      </c>
      <c r="D225" s="656">
        <v>0</v>
      </c>
      <c r="E225" s="541" t="s">
        <v>69</v>
      </c>
      <c r="F225" s="657">
        <v>7.5</v>
      </c>
      <c r="G225" s="658">
        <f t="shared" si="8"/>
        <v>0</v>
      </c>
    </row>
    <row r="226" spans="2:8" hidden="1" outlineLevel="1" x14ac:dyDescent="0.2">
      <c r="C226" s="539" t="s">
        <v>519</v>
      </c>
      <c r="D226" s="656">
        <v>0</v>
      </c>
      <c r="E226" s="541" t="s">
        <v>513</v>
      </c>
      <c r="F226" s="657">
        <v>7000</v>
      </c>
      <c r="G226" s="658">
        <f t="shared" si="8"/>
        <v>0</v>
      </c>
    </row>
    <row r="227" spans="2:8" hidden="1" outlineLevel="1" x14ac:dyDescent="0.2">
      <c r="C227" s="539" t="s">
        <v>520</v>
      </c>
      <c r="D227" s="656">
        <v>0</v>
      </c>
      <c r="E227" s="541" t="s">
        <v>513</v>
      </c>
      <c r="F227" s="657">
        <v>1000</v>
      </c>
      <c r="G227" s="658">
        <f t="shared" si="8"/>
        <v>0</v>
      </c>
    </row>
    <row r="228" spans="2:8" hidden="1" outlineLevel="1" x14ac:dyDescent="0.2">
      <c r="C228" s="539" t="s">
        <v>560</v>
      </c>
      <c r="D228" s="656">
        <v>0</v>
      </c>
      <c r="E228" s="541" t="s">
        <v>69</v>
      </c>
      <c r="F228" s="657">
        <v>1.5</v>
      </c>
      <c r="G228" s="658">
        <f t="shared" si="8"/>
        <v>0</v>
      </c>
    </row>
    <row r="229" spans="2:8" hidden="1" outlineLevel="1" x14ac:dyDescent="0.2">
      <c r="C229" s="539" t="s">
        <v>521</v>
      </c>
      <c r="D229" s="656">
        <v>0</v>
      </c>
      <c r="E229" s="541" t="s">
        <v>513</v>
      </c>
      <c r="F229" s="657">
        <v>500</v>
      </c>
      <c r="G229" s="658">
        <f t="shared" si="8"/>
        <v>0</v>
      </c>
    </row>
    <row r="230" spans="2:8" hidden="1" outlineLevel="1" x14ac:dyDescent="0.2">
      <c r="C230" s="539" t="s">
        <v>522</v>
      </c>
      <c r="D230" s="656">
        <v>0</v>
      </c>
      <c r="E230" s="541" t="s">
        <v>69</v>
      </c>
      <c r="F230" s="657">
        <v>3</v>
      </c>
      <c r="G230" s="658">
        <f t="shared" si="8"/>
        <v>0</v>
      </c>
    </row>
    <row r="231" spans="2:8" hidden="1" outlineLevel="1" x14ac:dyDescent="0.2">
      <c r="C231" s="539" t="s">
        <v>523</v>
      </c>
      <c r="D231" s="656">
        <v>0</v>
      </c>
      <c r="E231" s="541" t="s">
        <v>513</v>
      </c>
      <c r="F231" s="657">
        <v>7000</v>
      </c>
      <c r="G231" s="658">
        <f t="shared" si="8"/>
        <v>0</v>
      </c>
    </row>
    <row r="232" spans="2:8" hidden="1" outlineLevel="1" x14ac:dyDescent="0.2">
      <c r="C232" s="539" t="s">
        <v>524</v>
      </c>
      <c r="D232" s="656">
        <v>0</v>
      </c>
      <c r="E232" s="541" t="s">
        <v>513</v>
      </c>
      <c r="F232" s="657">
        <v>7000</v>
      </c>
      <c r="G232" s="658">
        <f t="shared" si="8"/>
        <v>0</v>
      </c>
    </row>
    <row r="233" spans="2:8" hidden="1" outlineLevel="1" x14ac:dyDescent="0.2">
      <c r="C233" s="539" t="s">
        <v>525</v>
      </c>
      <c r="D233" s="656">
        <v>0</v>
      </c>
      <c r="E233" s="541" t="s">
        <v>513</v>
      </c>
      <c r="F233" s="657">
        <v>21000</v>
      </c>
      <c r="G233" s="658">
        <f t="shared" si="8"/>
        <v>0</v>
      </c>
    </row>
    <row r="234" spans="2:8" ht="15.75" hidden="1" outlineLevel="1" thickBot="1" x14ac:dyDescent="0.25">
      <c r="C234" s="640" t="s">
        <v>526</v>
      </c>
      <c r="D234" s="660">
        <v>1</v>
      </c>
      <c r="E234" s="661" t="s">
        <v>527</v>
      </c>
      <c r="F234" s="662">
        <v>0.1</v>
      </c>
      <c r="G234" s="663">
        <f>SUM(G218:G233)*F234</f>
        <v>0</v>
      </c>
    </row>
    <row r="235" spans="2:8" hidden="1" outlineLevel="1" x14ac:dyDescent="0.2">
      <c r="E235" s="539"/>
      <c r="G235" s="542">
        <f>SUM(G218:G234)</f>
        <v>0</v>
      </c>
      <c r="H235" s="847" t="s">
        <v>529</v>
      </c>
    </row>
    <row r="236" spans="2:8" ht="15.75" hidden="1" outlineLevel="1" thickBot="1" x14ac:dyDescent="0.25">
      <c r="B236" s="539" t="s">
        <v>395</v>
      </c>
      <c r="H236" s="848"/>
    </row>
    <row r="237" spans="2:8" hidden="1" outlineLevel="1" x14ac:dyDescent="0.2">
      <c r="C237" s="539" t="s">
        <v>510</v>
      </c>
      <c r="D237" s="656">
        <v>0</v>
      </c>
      <c r="E237" s="541" t="s">
        <v>69</v>
      </c>
      <c r="F237" s="657">
        <v>7</v>
      </c>
      <c r="G237" s="658">
        <f t="shared" ref="G237:G252" si="9">D237*F237</f>
        <v>0</v>
      </c>
    </row>
    <row r="238" spans="2:8" hidden="1" outlineLevel="1" x14ac:dyDescent="0.2">
      <c r="C238" s="539" t="s">
        <v>511</v>
      </c>
      <c r="D238" s="656">
        <v>0</v>
      </c>
      <c r="E238" s="541" t="s">
        <v>69</v>
      </c>
      <c r="F238" s="657">
        <v>0.75</v>
      </c>
      <c r="G238" s="658">
        <f t="shared" si="9"/>
        <v>0</v>
      </c>
    </row>
    <row r="239" spans="2:8" hidden="1" outlineLevel="1" x14ac:dyDescent="0.2">
      <c r="C239" s="539" t="s">
        <v>512</v>
      </c>
      <c r="D239" s="656">
        <v>0</v>
      </c>
      <c r="E239" s="541" t="s">
        <v>513</v>
      </c>
      <c r="F239" s="657">
        <v>775</v>
      </c>
      <c r="G239" s="658">
        <f t="shared" si="9"/>
        <v>0</v>
      </c>
    </row>
    <row r="240" spans="2:8" hidden="1" outlineLevel="1" x14ac:dyDescent="0.2">
      <c r="C240" s="539" t="s">
        <v>514</v>
      </c>
      <c r="D240" s="656">
        <v>0</v>
      </c>
      <c r="E240" s="541" t="s">
        <v>513</v>
      </c>
      <c r="F240" s="657">
        <v>775</v>
      </c>
      <c r="G240" s="658">
        <f t="shared" si="9"/>
        <v>0</v>
      </c>
    </row>
    <row r="241" spans="2:8" hidden="1" outlineLevel="1" x14ac:dyDescent="0.2">
      <c r="C241" s="539" t="s">
        <v>515</v>
      </c>
      <c r="D241" s="656">
        <v>0</v>
      </c>
      <c r="E241" s="541" t="s">
        <v>69</v>
      </c>
      <c r="F241" s="657">
        <v>9</v>
      </c>
      <c r="G241" s="658">
        <f t="shared" si="9"/>
        <v>0</v>
      </c>
    </row>
    <row r="242" spans="2:8" hidden="1" outlineLevel="1" x14ac:dyDescent="0.2">
      <c r="C242" s="539" t="s">
        <v>516</v>
      </c>
      <c r="D242" s="656">
        <v>0</v>
      </c>
      <c r="E242" s="541" t="s">
        <v>69</v>
      </c>
      <c r="F242" s="657">
        <v>10</v>
      </c>
      <c r="G242" s="658">
        <f t="shared" si="9"/>
        <v>0</v>
      </c>
    </row>
    <row r="243" spans="2:8" hidden="1" outlineLevel="1" x14ac:dyDescent="0.2">
      <c r="C243" s="539" t="s">
        <v>517</v>
      </c>
      <c r="D243" s="656">
        <v>0</v>
      </c>
      <c r="E243" s="541" t="s">
        <v>69</v>
      </c>
      <c r="F243" s="657">
        <v>2</v>
      </c>
      <c r="G243" s="658">
        <f t="shared" si="9"/>
        <v>0</v>
      </c>
    </row>
    <row r="244" spans="2:8" hidden="1" outlineLevel="1" x14ac:dyDescent="0.2">
      <c r="C244" s="539" t="s">
        <v>518</v>
      </c>
      <c r="D244" s="656">
        <v>0</v>
      </c>
      <c r="E244" s="541" t="s">
        <v>69</v>
      </c>
      <c r="F244" s="657">
        <v>7.5</v>
      </c>
      <c r="G244" s="658">
        <f t="shared" si="9"/>
        <v>0</v>
      </c>
    </row>
    <row r="245" spans="2:8" hidden="1" outlineLevel="1" x14ac:dyDescent="0.2">
      <c r="C245" s="539" t="s">
        <v>519</v>
      </c>
      <c r="D245" s="656">
        <v>0</v>
      </c>
      <c r="E245" s="541" t="s">
        <v>513</v>
      </c>
      <c r="F245" s="657">
        <v>7000</v>
      </c>
      <c r="G245" s="658">
        <f t="shared" si="9"/>
        <v>0</v>
      </c>
    </row>
    <row r="246" spans="2:8" hidden="1" outlineLevel="1" x14ac:dyDescent="0.2">
      <c r="C246" s="539" t="s">
        <v>520</v>
      </c>
      <c r="D246" s="656">
        <v>0</v>
      </c>
      <c r="E246" s="541" t="s">
        <v>513</v>
      </c>
      <c r="F246" s="657">
        <v>1000</v>
      </c>
      <c r="G246" s="658">
        <f t="shared" si="9"/>
        <v>0</v>
      </c>
    </row>
    <row r="247" spans="2:8" hidden="1" outlineLevel="1" x14ac:dyDescent="0.2">
      <c r="C247" s="539" t="s">
        <v>560</v>
      </c>
      <c r="D247" s="656">
        <v>0</v>
      </c>
      <c r="E247" s="541" t="s">
        <v>69</v>
      </c>
      <c r="F247" s="657">
        <v>1.5</v>
      </c>
      <c r="G247" s="658">
        <f t="shared" si="9"/>
        <v>0</v>
      </c>
    </row>
    <row r="248" spans="2:8" hidden="1" outlineLevel="1" x14ac:dyDescent="0.2">
      <c r="C248" s="539" t="s">
        <v>521</v>
      </c>
      <c r="D248" s="656">
        <v>0</v>
      </c>
      <c r="E248" s="541" t="s">
        <v>513</v>
      </c>
      <c r="F248" s="657">
        <v>500</v>
      </c>
      <c r="G248" s="658">
        <f t="shared" si="9"/>
        <v>0</v>
      </c>
    </row>
    <row r="249" spans="2:8" hidden="1" outlineLevel="1" x14ac:dyDescent="0.2">
      <c r="C249" s="539" t="s">
        <v>522</v>
      </c>
      <c r="D249" s="656">
        <v>0</v>
      </c>
      <c r="E249" s="541" t="s">
        <v>69</v>
      </c>
      <c r="F249" s="657">
        <v>3</v>
      </c>
      <c r="G249" s="658">
        <f t="shared" si="9"/>
        <v>0</v>
      </c>
    </row>
    <row r="250" spans="2:8" hidden="1" outlineLevel="1" x14ac:dyDescent="0.2">
      <c r="C250" s="539" t="s">
        <v>523</v>
      </c>
      <c r="D250" s="656">
        <v>0</v>
      </c>
      <c r="E250" s="541" t="s">
        <v>513</v>
      </c>
      <c r="F250" s="657">
        <v>7000</v>
      </c>
      <c r="G250" s="658">
        <f t="shared" si="9"/>
        <v>0</v>
      </c>
    </row>
    <row r="251" spans="2:8" hidden="1" outlineLevel="1" x14ac:dyDescent="0.2">
      <c r="C251" s="539" t="s">
        <v>524</v>
      </c>
      <c r="D251" s="656">
        <v>0</v>
      </c>
      <c r="E251" s="541" t="s">
        <v>513</v>
      </c>
      <c r="F251" s="657">
        <v>7000</v>
      </c>
      <c r="G251" s="658">
        <f t="shared" si="9"/>
        <v>0</v>
      </c>
    </row>
    <row r="252" spans="2:8" hidden="1" outlineLevel="1" x14ac:dyDescent="0.2">
      <c r="C252" s="539" t="s">
        <v>525</v>
      </c>
      <c r="D252" s="656">
        <v>0</v>
      </c>
      <c r="E252" s="541" t="s">
        <v>513</v>
      </c>
      <c r="F252" s="657">
        <v>21000</v>
      </c>
      <c r="G252" s="658">
        <f t="shared" si="9"/>
        <v>0</v>
      </c>
    </row>
    <row r="253" spans="2:8" ht="15.75" hidden="1" outlineLevel="1" thickBot="1" x14ac:dyDescent="0.25">
      <c r="C253" s="640" t="s">
        <v>526</v>
      </c>
      <c r="D253" s="660">
        <v>1</v>
      </c>
      <c r="E253" s="661" t="s">
        <v>527</v>
      </c>
      <c r="F253" s="662">
        <v>0.1</v>
      </c>
      <c r="G253" s="663">
        <f>SUM(G237:G252)*F253</f>
        <v>0</v>
      </c>
    </row>
    <row r="254" spans="2:8" hidden="1" outlineLevel="1" x14ac:dyDescent="0.2">
      <c r="E254" s="539"/>
      <c r="G254" s="542">
        <f>SUM(G237:G253)</f>
        <v>0</v>
      </c>
      <c r="H254" s="847" t="s">
        <v>529</v>
      </c>
    </row>
    <row r="255" spans="2:8" ht="15.75" hidden="1" outlineLevel="1" thickBot="1" x14ac:dyDescent="0.25">
      <c r="B255" s="539" t="s">
        <v>396</v>
      </c>
      <c r="H255" s="848"/>
    </row>
    <row r="256" spans="2:8" hidden="1" outlineLevel="1" x14ac:dyDescent="0.2">
      <c r="C256" s="539" t="s">
        <v>510</v>
      </c>
      <c r="D256" s="656">
        <v>0</v>
      </c>
      <c r="E256" s="541" t="s">
        <v>69</v>
      </c>
      <c r="F256" s="657">
        <v>7</v>
      </c>
      <c r="G256" s="658">
        <f t="shared" ref="G256:G271" si="10">D256*F256</f>
        <v>0</v>
      </c>
    </row>
    <row r="257" spans="3:7" hidden="1" outlineLevel="1" x14ac:dyDescent="0.2">
      <c r="C257" s="539" t="s">
        <v>511</v>
      </c>
      <c r="D257" s="656">
        <v>0</v>
      </c>
      <c r="E257" s="541" t="s">
        <v>69</v>
      </c>
      <c r="F257" s="657">
        <v>0.75</v>
      </c>
      <c r="G257" s="658">
        <f t="shared" si="10"/>
        <v>0</v>
      </c>
    </row>
    <row r="258" spans="3:7" hidden="1" outlineLevel="1" x14ac:dyDescent="0.2">
      <c r="C258" s="539" t="s">
        <v>512</v>
      </c>
      <c r="D258" s="656">
        <v>0</v>
      </c>
      <c r="E258" s="541" t="s">
        <v>513</v>
      </c>
      <c r="F258" s="657">
        <v>775</v>
      </c>
      <c r="G258" s="658">
        <f t="shared" si="10"/>
        <v>0</v>
      </c>
    </row>
    <row r="259" spans="3:7" hidden="1" outlineLevel="1" x14ac:dyDescent="0.2">
      <c r="C259" s="539" t="s">
        <v>514</v>
      </c>
      <c r="D259" s="656">
        <v>0</v>
      </c>
      <c r="E259" s="541" t="s">
        <v>513</v>
      </c>
      <c r="F259" s="657">
        <v>775</v>
      </c>
      <c r="G259" s="658">
        <f t="shared" si="10"/>
        <v>0</v>
      </c>
    </row>
    <row r="260" spans="3:7" hidden="1" outlineLevel="1" x14ac:dyDescent="0.2">
      <c r="C260" s="539" t="s">
        <v>515</v>
      </c>
      <c r="D260" s="656">
        <v>0</v>
      </c>
      <c r="E260" s="541" t="s">
        <v>69</v>
      </c>
      <c r="F260" s="657">
        <v>9</v>
      </c>
      <c r="G260" s="658">
        <f t="shared" si="10"/>
        <v>0</v>
      </c>
    </row>
    <row r="261" spans="3:7" hidden="1" outlineLevel="1" x14ac:dyDescent="0.2">
      <c r="C261" s="539" t="s">
        <v>516</v>
      </c>
      <c r="D261" s="656">
        <v>0</v>
      </c>
      <c r="E261" s="541" t="s">
        <v>69</v>
      </c>
      <c r="F261" s="657">
        <v>10</v>
      </c>
      <c r="G261" s="658">
        <f t="shared" si="10"/>
        <v>0</v>
      </c>
    </row>
    <row r="262" spans="3:7" hidden="1" outlineLevel="1" x14ac:dyDescent="0.2">
      <c r="C262" s="539" t="s">
        <v>517</v>
      </c>
      <c r="D262" s="656">
        <v>0</v>
      </c>
      <c r="E262" s="541" t="s">
        <v>69</v>
      </c>
      <c r="F262" s="657">
        <v>2</v>
      </c>
      <c r="G262" s="658">
        <f t="shared" si="10"/>
        <v>0</v>
      </c>
    </row>
    <row r="263" spans="3:7" hidden="1" outlineLevel="1" x14ac:dyDescent="0.2">
      <c r="C263" s="539" t="s">
        <v>518</v>
      </c>
      <c r="D263" s="656">
        <v>0</v>
      </c>
      <c r="E263" s="541" t="s">
        <v>69</v>
      </c>
      <c r="F263" s="657">
        <v>7.5</v>
      </c>
      <c r="G263" s="658">
        <f t="shared" si="10"/>
        <v>0</v>
      </c>
    </row>
    <row r="264" spans="3:7" hidden="1" outlineLevel="1" x14ac:dyDescent="0.2">
      <c r="C264" s="539" t="s">
        <v>519</v>
      </c>
      <c r="D264" s="656">
        <v>0</v>
      </c>
      <c r="E264" s="541" t="s">
        <v>513</v>
      </c>
      <c r="F264" s="657">
        <v>7000</v>
      </c>
      <c r="G264" s="658">
        <f t="shared" si="10"/>
        <v>0</v>
      </c>
    </row>
    <row r="265" spans="3:7" hidden="1" outlineLevel="1" x14ac:dyDescent="0.2">
      <c r="C265" s="539" t="s">
        <v>520</v>
      </c>
      <c r="D265" s="656">
        <v>0</v>
      </c>
      <c r="E265" s="541" t="s">
        <v>513</v>
      </c>
      <c r="F265" s="657">
        <v>1000</v>
      </c>
      <c r="G265" s="658">
        <f t="shared" si="10"/>
        <v>0</v>
      </c>
    </row>
    <row r="266" spans="3:7" hidden="1" outlineLevel="1" x14ac:dyDescent="0.2">
      <c r="C266" s="539" t="s">
        <v>560</v>
      </c>
      <c r="D266" s="656">
        <v>0</v>
      </c>
      <c r="E266" s="541" t="s">
        <v>69</v>
      </c>
      <c r="F266" s="657">
        <v>1.5</v>
      </c>
      <c r="G266" s="658">
        <f t="shared" si="10"/>
        <v>0</v>
      </c>
    </row>
    <row r="267" spans="3:7" hidden="1" outlineLevel="1" x14ac:dyDescent="0.2">
      <c r="C267" s="539" t="s">
        <v>521</v>
      </c>
      <c r="D267" s="656">
        <v>0</v>
      </c>
      <c r="E267" s="541" t="s">
        <v>513</v>
      </c>
      <c r="F267" s="657">
        <v>500</v>
      </c>
      <c r="G267" s="658">
        <f t="shared" si="10"/>
        <v>0</v>
      </c>
    </row>
    <row r="268" spans="3:7" hidden="1" outlineLevel="1" x14ac:dyDescent="0.2">
      <c r="C268" s="539" t="s">
        <v>522</v>
      </c>
      <c r="D268" s="656">
        <v>0</v>
      </c>
      <c r="E268" s="541" t="s">
        <v>69</v>
      </c>
      <c r="F268" s="657">
        <v>3</v>
      </c>
      <c r="G268" s="658">
        <f t="shared" si="10"/>
        <v>0</v>
      </c>
    </row>
    <row r="269" spans="3:7" hidden="1" outlineLevel="1" x14ac:dyDescent="0.2">
      <c r="C269" s="539" t="s">
        <v>523</v>
      </c>
      <c r="D269" s="656">
        <v>0</v>
      </c>
      <c r="E269" s="541" t="s">
        <v>513</v>
      </c>
      <c r="F269" s="657">
        <v>7000</v>
      </c>
      <c r="G269" s="658">
        <f t="shared" si="10"/>
        <v>0</v>
      </c>
    </row>
    <row r="270" spans="3:7" hidden="1" outlineLevel="1" x14ac:dyDescent="0.2">
      <c r="C270" s="539" t="s">
        <v>524</v>
      </c>
      <c r="D270" s="656">
        <v>0</v>
      </c>
      <c r="E270" s="541" t="s">
        <v>513</v>
      </c>
      <c r="F270" s="657">
        <v>7000</v>
      </c>
      <c r="G270" s="658">
        <f t="shared" si="10"/>
        <v>0</v>
      </c>
    </row>
    <row r="271" spans="3:7" hidden="1" outlineLevel="1" x14ac:dyDescent="0.2">
      <c r="C271" s="539" t="s">
        <v>525</v>
      </c>
      <c r="D271" s="656">
        <v>0</v>
      </c>
      <c r="E271" s="541" t="s">
        <v>513</v>
      </c>
      <c r="F271" s="657">
        <v>21000</v>
      </c>
      <c r="G271" s="658">
        <f t="shared" si="10"/>
        <v>0</v>
      </c>
    </row>
    <row r="272" spans="3:7" ht="15.75" hidden="1" outlineLevel="1" thickBot="1" x14ac:dyDescent="0.25">
      <c r="C272" s="640" t="s">
        <v>526</v>
      </c>
      <c r="D272" s="660">
        <v>1</v>
      </c>
      <c r="E272" s="661" t="s">
        <v>527</v>
      </c>
      <c r="F272" s="662">
        <v>0.1</v>
      </c>
      <c r="G272" s="663">
        <f>SUM(G256:G271)*F272</f>
        <v>0</v>
      </c>
    </row>
    <row r="273" spans="5:8" hidden="1" outlineLevel="1" x14ac:dyDescent="0.2">
      <c r="E273" s="539"/>
      <c r="G273" s="542">
        <f>SUM(G256:G272)</f>
        <v>0</v>
      </c>
      <c r="H273" s="847" t="s">
        <v>530</v>
      </c>
    </row>
    <row r="274" spans="5:8" ht="15.75" hidden="1" outlineLevel="1" thickBot="1" x14ac:dyDescent="0.25">
      <c r="H274" s="848"/>
    </row>
    <row r="275" spans="5:8" hidden="1" outlineLevel="1" x14ac:dyDescent="0.2"/>
  </sheetData>
  <dataConsolidate/>
  <mergeCells count="57">
    <mergeCell ref="I133:J137"/>
    <mergeCell ref="C74:G74"/>
    <mergeCell ref="C75:G75"/>
    <mergeCell ref="B64:C64"/>
    <mergeCell ref="D64:E64"/>
    <mergeCell ref="B65:C65"/>
    <mergeCell ref="D65:E65"/>
    <mergeCell ref="C73:G73"/>
    <mergeCell ref="D85:F85"/>
    <mergeCell ref="A10:C10"/>
    <mergeCell ref="D10:F10"/>
    <mergeCell ref="G10:H10"/>
    <mergeCell ref="B59:C59"/>
    <mergeCell ref="G12:H13"/>
    <mergeCell ref="B16:G16"/>
    <mergeCell ref="B25:G25"/>
    <mergeCell ref="B31:G31"/>
    <mergeCell ref="B33:G33"/>
    <mergeCell ref="B38:G38"/>
    <mergeCell ref="B39:E39"/>
    <mergeCell ref="B40:G40"/>
    <mergeCell ref="B41:E41"/>
    <mergeCell ref="B42:G42"/>
    <mergeCell ref="B44:G44"/>
    <mergeCell ref="H17:H24"/>
    <mergeCell ref="A4:H4"/>
    <mergeCell ref="A5:H5"/>
    <mergeCell ref="A9:B9"/>
    <mergeCell ref="A6:B8"/>
    <mergeCell ref="C6:H8"/>
    <mergeCell ref="A61:C61"/>
    <mergeCell ref="D61:F61"/>
    <mergeCell ref="G61:H61"/>
    <mergeCell ref="C79:H79"/>
    <mergeCell ref="D84:F84"/>
    <mergeCell ref="C82:G82"/>
    <mergeCell ref="H81:H82"/>
    <mergeCell ref="F62:F65"/>
    <mergeCell ref="G62:H65"/>
    <mergeCell ref="C76:G76"/>
    <mergeCell ref="C80:G80"/>
    <mergeCell ref="C81:G81"/>
    <mergeCell ref="B62:C62"/>
    <mergeCell ref="D62:E62"/>
    <mergeCell ref="B63:C63"/>
    <mergeCell ref="D63:E63"/>
    <mergeCell ref="A139:C139"/>
    <mergeCell ref="D139:F139"/>
    <mergeCell ref="G139:H139"/>
    <mergeCell ref="C87:G87"/>
    <mergeCell ref="H273:H274"/>
    <mergeCell ref="H159:H160"/>
    <mergeCell ref="H178:H179"/>
    <mergeCell ref="H197:H198"/>
    <mergeCell ref="H216:H217"/>
    <mergeCell ref="H235:H236"/>
    <mergeCell ref="H254:H255"/>
  </mergeCells>
  <phoneticPr fontId="69" type="noConversion"/>
  <conditionalFormatting sqref="H42">
    <cfRule type="cellIs" dxfId="6" priority="2" operator="greaterThan">
      <formula>250000</formula>
    </cfRule>
    <cfRule type="cellIs" dxfId="5" priority="1" operator="between">
      <formula>200000</formula>
      <formula>250000</formula>
    </cfRule>
  </conditionalFormatting>
  <dataValidations count="18">
    <dataValidation type="list" allowBlank="1" showInputMessage="1" showErrorMessage="1" sqref="C12" xr:uid="{FFA5E6AB-A104-447D-9493-480F373D35A5}">
      <formula1>"Purchase Order,Purchase Order with A/E,D/B&lt;$200K"</formula1>
    </dataValidation>
    <dataValidation type="list" allowBlank="1" showInputMessage="1" showErrorMessage="1" sqref="C34" xr:uid="{66CBB00C-C666-4578-8DF2-A54A16534623}">
      <formula1>"Contracted, In-House"</formula1>
    </dataValidation>
    <dataValidation type="list" showInputMessage="1" showErrorMessage="1" errorTitle="Invalid Entry" error="Valid values are &quot;Yes&quot; and &quot;No&quot;." sqref="F32 E100:E104 E131:E132" xr:uid="{4EDDDEE3-D166-4DD2-8D01-350C50AC8319}">
      <formula1>"None, Low, Medium, High"</formula1>
    </dataValidation>
    <dataValidation type="list" allowBlank="1" showInputMessage="1" showErrorMessage="1" sqref="D63" xr:uid="{63890EFD-1C72-425B-9D40-1CE082D6AEC3}">
      <formula1>"Average, Difficult, Hist/Memorial"</formula1>
    </dataValidation>
    <dataValidation type="list" showInputMessage="1" showErrorMessage="1" sqref="D63" xr:uid="{AC0637E6-E093-48B7-A764-8961F7FF450F}">
      <formula1>"Average, Difficult, Hist/Memorial"</formula1>
    </dataValidation>
    <dataValidation type="list" allowBlank="1" showInputMessage="1" showErrorMessage="1" sqref="D62:E62" xr:uid="{6CA1F6A5-FFF9-4306-9A94-0DC5B50AC182}">
      <formula1>"New Construction, Renovation"</formula1>
    </dataValidation>
    <dataValidation type="list" allowBlank="1" showInputMessage="1" showErrorMessage="1" sqref="D64" xr:uid="{5B973F29-6217-40B7-AEA2-BCAC5C1B2850}">
      <formula1>"General Contractor, Construction Manager at Risk, Design-Build"</formula1>
    </dataValidation>
    <dataValidation type="list" allowBlank="1" showInputMessage="1" showErrorMessage="1" sqref="E70:E72" xr:uid="{9EB3985F-40C1-42CC-9D33-78DB1D2A22C4}">
      <formula1>"Heavy, Med, Light, Finish"</formula1>
    </dataValidation>
    <dataValidation type="list" allowBlank="1" showInputMessage="1" showErrorMessage="1" sqref="C78" xr:uid="{43B78071-6080-4AD6-B44F-24DEA024027B}">
      <formula1>"0%,5%,7.5%,10%"</formula1>
    </dataValidation>
    <dataValidation type="list" allowBlank="1" showInputMessage="1" showErrorMessage="1" sqref="D78:F78" xr:uid="{903FA89C-6AD0-4BF0-9759-5CFDF9929A2C}">
      <formula1>"0%,3%,4%,5%"</formula1>
    </dataValidation>
    <dataValidation type="list" allowBlank="1" showInputMessage="1" showErrorMessage="1" sqref="G78" xr:uid="{F6595F8B-0800-4774-9D58-69ECB7C7A78D}">
      <formula1>"0%,2%"</formula1>
    </dataValidation>
    <dataValidation type="list" allowBlank="1" showInputMessage="1" showErrorMessage="1" sqref="E91" xr:uid="{074FAC43-6E88-44CB-9192-528F68BC8D61}">
      <formula1>"None, Low, Medium, High"</formula1>
    </dataValidation>
    <dataValidation type="list" showInputMessage="1" showErrorMessage="1" errorTitle="Invalid Entry" error="Valid values are &quot;Yes&quot; and &quot;No&quot;." sqref="E108:E109 E114:E115" xr:uid="{A5F8D82F-D7AB-4C8B-ABCB-761E20627979}">
      <formula1>"Low, Medium, High"</formula1>
    </dataValidation>
    <dataValidation type="list" showInputMessage="1" showErrorMessage="1" errorTitle="Invalid Entry" error="Valid values are &quot;Yes&quot; and &quot;No&quot;." sqref="E117" xr:uid="{EF67A003-3657-4785-A351-ECB7EF28BF8E}">
      <formula1>"None, New, New/Renovation, Renovation, Utility"</formula1>
    </dataValidation>
    <dataValidation type="list" showInputMessage="1" showErrorMessage="1" errorTitle="Invalid Entry" error="Valid values are &quot;Yes&quot; and &quot;No&quot;." sqref="E110 E116" xr:uid="{2F270330-D86A-4181-A63B-976B2D76B61B}">
      <formula1>"No, Silver, Gold"</formula1>
    </dataValidation>
    <dataValidation type="list" allowBlank="1" showInputMessage="1" showErrorMessage="1" sqref="C81:G81" xr:uid="{E63926E2-08AE-4796-8CE3-39D825CC77D8}">
      <formula1>"None, Tag, PM, Tag and PM"</formula1>
    </dataValidation>
    <dataValidation type="list" allowBlank="1" showInputMessage="1" showErrorMessage="1" sqref="C19" xr:uid="{D48E6F83-04DC-4B55-8893-33E0399A512F}">
      <formula1>"None, Tag, PM, Both"</formula1>
    </dataValidation>
    <dataValidation type="list" showInputMessage="1" showErrorMessage="1" errorTitle="Invalid Entry" error="Valid values are &quot;Yes&quot; and &quot;No&quot;." sqref="E94" xr:uid="{38E8157F-FAD0-4DEC-835D-5819CD924D7A}">
      <formula1>"None, Low, Medium, High, Small CMR"</formula1>
    </dataValidation>
  </dataValidations>
  <hyperlinks>
    <hyperlink ref="G12:H13" location="'Estimate Template'!A125" display="Detailed Estimate Module" xr:uid="{37BBF42D-D27E-41A1-B4BF-70BA52687BE2}"/>
    <hyperlink ref="H159:H160" location="'Estimate Template'!G20" display="No Alternates" xr:uid="{E713A59C-4014-44D0-B551-70877E9FF306}"/>
    <hyperlink ref="H178:H179" location="'Estimate Template'!G20" display="No Additional Alternates" xr:uid="{3425ECB2-4E90-43BA-B950-CCFBE59DECAF}"/>
    <hyperlink ref="H197:H198" location="'Estimate Template'!G20" display="No Additional Alternates" xr:uid="{134F44F4-8526-465C-8F66-D25FD08122AC}"/>
    <hyperlink ref="H216:H217" location="'Estimate Template'!G20" display="No Additional Alternates" xr:uid="{4D4BCA17-99E3-41FB-BB77-FE6247685FDC}"/>
    <hyperlink ref="H235:H236" location="'Estimate Template'!G20" display="No Additional Alternates" xr:uid="{5DB96C6D-A17D-4A1C-9277-3368FF8489D9}"/>
    <hyperlink ref="H254:H255" location="'Estimate Template'!G20" display="No Additional Alternates" xr:uid="{8027E1F0-64D7-432D-B64B-562C43197DFD}"/>
    <hyperlink ref="H273:H274" location="'Estimate Template'!G20" display="Done" xr:uid="{20418C00-2453-4A38-A2D9-B359E10D5BF9}"/>
    <hyperlink ref="H83" location="'Estimate Template'!C9" display="'Estimate Template'!C9" xr:uid="{4D890D74-C43F-49A9-808A-31EE0E4DF4A3}"/>
  </hyperlinks>
  <pageMargins left="0.25" right="1.0293749999999999" top="0.75" bottom="0.75" header="0.3" footer="0.3"/>
  <pageSetup scale="37" fitToHeight="60" orientation="portrait" r:id="rId1"/>
  <headerFooter>
    <oddHeader>&amp;LPrinted  &amp;D  &amp;T&amp;R  &amp;P</oddHeader>
    <oddFooter>&amp;L&amp;F&amp;C&amp;A&amp;RBudget Version 2016</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BCB41384-94D2-4BD6-8373-93DC295250BC}">
          <x14:formula1>
            <xm:f>'Benchmark Cost Per SF'!$B$57:$B$80</xm:f>
          </x14:formula1>
          <xm:sqref>C70:C72</xm:sqref>
        </x14:dataValidation>
        <x14:dataValidation type="list" allowBlank="1" showInputMessage="1" showErrorMessage="1" xr:uid="{F2D5A924-2870-49FF-BA42-C9EB404F62E5}">
          <x14:formula1>
            <xm:f>'Benchmark Cost Per SF'!$L$55:$L$78</xm:f>
          </x14:formula1>
          <xm:sqref>C82:G82</xm:sqref>
        </x14:dataValidation>
        <x14:dataValidation type="list" allowBlank="1" showInputMessage="1" showErrorMessage="1" xr:uid="{1BA680BB-6B1F-4C4F-B7A5-8E2DAF91779A}">
          <x14:formula1>
            <xm:f>'Fee Look Up Table'!$A$53:$A$64</xm:f>
          </x14:formula1>
          <xm:sqref>C13</xm:sqref>
        </x14:dataValidation>
        <x14:dataValidation type="list" allowBlank="1" showInputMessage="1" showErrorMessage="1" xr:uid="{E8F2EFE1-6878-4255-AF92-00FFE5BCE208}">
          <x14:formula1>
            <xm:f>'Fee Look Up Table'!$A$65:$A$85</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9" tint="-0.249977111117893"/>
    <pageSetUpPr fitToPage="1"/>
  </sheetPr>
  <dimension ref="A1:F107"/>
  <sheetViews>
    <sheetView view="pageLayout" zoomScaleNormal="100" zoomScaleSheetLayoutView="85" workbookViewId="0">
      <selection activeCell="F7" sqref="F7"/>
    </sheetView>
  </sheetViews>
  <sheetFormatPr defaultColWidth="8.85546875" defaultRowHeight="15" x14ac:dyDescent="0.25"/>
  <cols>
    <col min="1" max="1" width="31.85546875" style="252" customWidth="1"/>
    <col min="2" max="2" width="16" style="252" bestFit="1" customWidth="1"/>
    <col min="3" max="5" width="12.28515625" style="252" customWidth="1"/>
    <col min="6" max="6" width="15.28515625" style="252" customWidth="1"/>
    <col min="7" max="239" width="9.140625" style="252"/>
    <col min="240" max="240" width="30.42578125" style="252" customWidth="1"/>
    <col min="241" max="241" width="12" style="252" customWidth="1"/>
    <col min="242" max="242" width="5.42578125" style="252" customWidth="1"/>
    <col min="243" max="243" width="8.85546875" style="252" customWidth="1"/>
    <col min="244" max="244" width="1.28515625" style="252" customWidth="1"/>
    <col min="245" max="245" width="8.28515625" style="252" customWidth="1"/>
    <col min="246" max="246" width="22.85546875" style="252" customWidth="1"/>
    <col min="247" max="495" width="9.140625" style="252"/>
    <col min="496" max="496" width="30.42578125" style="252" customWidth="1"/>
    <col min="497" max="497" width="12" style="252" customWidth="1"/>
    <col min="498" max="498" width="5.42578125" style="252" customWidth="1"/>
    <col min="499" max="499" width="8.85546875" style="252" customWidth="1"/>
    <col min="500" max="500" width="1.28515625" style="252" customWidth="1"/>
    <col min="501" max="501" width="8.28515625" style="252" customWidth="1"/>
    <col min="502" max="502" width="22.85546875" style="252" customWidth="1"/>
    <col min="503" max="751" width="9.140625" style="252"/>
    <col min="752" max="752" width="30.42578125" style="252" customWidth="1"/>
    <col min="753" max="753" width="12" style="252" customWidth="1"/>
    <col min="754" max="754" width="5.42578125" style="252" customWidth="1"/>
    <col min="755" max="755" width="8.85546875" style="252" customWidth="1"/>
    <col min="756" max="756" width="1.28515625" style="252" customWidth="1"/>
    <col min="757" max="757" width="8.28515625" style="252" customWidth="1"/>
    <col min="758" max="758" width="22.85546875" style="252" customWidth="1"/>
    <col min="759" max="1007" width="9.140625" style="252"/>
    <col min="1008" max="1008" width="30.42578125" style="252" customWidth="1"/>
    <col min="1009" max="1009" width="12" style="252" customWidth="1"/>
    <col min="1010" max="1010" width="5.42578125" style="252" customWidth="1"/>
    <col min="1011" max="1011" width="8.85546875" style="252" customWidth="1"/>
    <col min="1012" max="1012" width="1.28515625" style="252" customWidth="1"/>
    <col min="1013" max="1013" width="8.28515625" style="252" customWidth="1"/>
    <col min="1014" max="1014" width="22.85546875" style="252" customWidth="1"/>
    <col min="1015" max="1263" width="9.140625" style="252"/>
    <col min="1264" max="1264" width="30.42578125" style="252" customWidth="1"/>
    <col min="1265" max="1265" width="12" style="252" customWidth="1"/>
    <col min="1266" max="1266" width="5.42578125" style="252" customWidth="1"/>
    <col min="1267" max="1267" width="8.85546875" style="252" customWidth="1"/>
    <col min="1268" max="1268" width="1.28515625" style="252" customWidth="1"/>
    <col min="1269" max="1269" width="8.28515625" style="252" customWidth="1"/>
    <col min="1270" max="1270" width="22.85546875" style="252" customWidth="1"/>
    <col min="1271" max="1519" width="9.140625" style="252"/>
    <col min="1520" max="1520" width="30.42578125" style="252" customWidth="1"/>
    <col min="1521" max="1521" width="12" style="252" customWidth="1"/>
    <col min="1522" max="1522" width="5.42578125" style="252" customWidth="1"/>
    <col min="1523" max="1523" width="8.85546875" style="252" customWidth="1"/>
    <col min="1524" max="1524" width="1.28515625" style="252" customWidth="1"/>
    <col min="1525" max="1525" width="8.28515625" style="252" customWidth="1"/>
    <col min="1526" max="1526" width="22.85546875" style="252" customWidth="1"/>
    <col min="1527" max="1775" width="9.140625" style="252"/>
    <col min="1776" max="1776" width="30.42578125" style="252" customWidth="1"/>
    <col min="1777" max="1777" width="12" style="252" customWidth="1"/>
    <col min="1778" max="1778" width="5.42578125" style="252" customWidth="1"/>
    <col min="1779" max="1779" width="8.85546875" style="252" customWidth="1"/>
    <col min="1780" max="1780" width="1.28515625" style="252" customWidth="1"/>
    <col min="1781" max="1781" width="8.28515625" style="252" customWidth="1"/>
    <col min="1782" max="1782" width="22.85546875" style="252" customWidth="1"/>
    <col min="1783" max="2031" width="9.140625" style="252"/>
    <col min="2032" max="2032" width="30.42578125" style="252" customWidth="1"/>
    <col min="2033" max="2033" width="12" style="252" customWidth="1"/>
    <col min="2034" max="2034" width="5.42578125" style="252" customWidth="1"/>
    <col min="2035" max="2035" width="8.85546875" style="252" customWidth="1"/>
    <col min="2036" max="2036" width="1.28515625" style="252" customWidth="1"/>
    <col min="2037" max="2037" width="8.28515625" style="252" customWidth="1"/>
    <col min="2038" max="2038" width="22.85546875" style="252" customWidth="1"/>
    <col min="2039" max="2287" width="9.140625" style="252"/>
    <col min="2288" max="2288" width="30.42578125" style="252" customWidth="1"/>
    <col min="2289" max="2289" width="12" style="252" customWidth="1"/>
    <col min="2290" max="2290" width="5.42578125" style="252" customWidth="1"/>
    <col min="2291" max="2291" width="8.85546875" style="252" customWidth="1"/>
    <col min="2292" max="2292" width="1.28515625" style="252" customWidth="1"/>
    <col min="2293" max="2293" width="8.28515625" style="252" customWidth="1"/>
    <col min="2294" max="2294" width="22.85546875" style="252" customWidth="1"/>
    <col min="2295" max="2543" width="9.140625" style="252"/>
    <col min="2544" max="2544" width="30.42578125" style="252" customWidth="1"/>
    <col min="2545" max="2545" width="12" style="252" customWidth="1"/>
    <col min="2546" max="2546" width="5.42578125" style="252" customWidth="1"/>
    <col min="2547" max="2547" width="8.85546875" style="252" customWidth="1"/>
    <col min="2548" max="2548" width="1.28515625" style="252" customWidth="1"/>
    <col min="2549" max="2549" width="8.28515625" style="252" customWidth="1"/>
    <col min="2550" max="2550" width="22.85546875" style="252" customWidth="1"/>
    <col min="2551" max="2799" width="9.140625" style="252"/>
    <col min="2800" max="2800" width="30.42578125" style="252" customWidth="1"/>
    <col min="2801" max="2801" width="12" style="252" customWidth="1"/>
    <col min="2802" max="2802" width="5.42578125" style="252" customWidth="1"/>
    <col min="2803" max="2803" width="8.85546875" style="252" customWidth="1"/>
    <col min="2804" max="2804" width="1.28515625" style="252" customWidth="1"/>
    <col min="2805" max="2805" width="8.28515625" style="252" customWidth="1"/>
    <col min="2806" max="2806" width="22.85546875" style="252" customWidth="1"/>
    <col min="2807" max="3055" width="9.140625" style="252"/>
    <col min="3056" max="3056" width="30.42578125" style="252" customWidth="1"/>
    <col min="3057" max="3057" width="12" style="252" customWidth="1"/>
    <col min="3058" max="3058" width="5.42578125" style="252" customWidth="1"/>
    <col min="3059" max="3059" width="8.85546875" style="252" customWidth="1"/>
    <col min="3060" max="3060" width="1.28515625" style="252" customWidth="1"/>
    <col min="3061" max="3061" width="8.28515625" style="252" customWidth="1"/>
    <col min="3062" max="3062" width="22.85546875" style="252" customWidth="1"/>
    <col min="3063" max="3311" width="9.140625" style="252"/>
    <col min="3312" max="3312" width="30.42578125" style="252" customWidth="1"/>
    <col min="3313" max="3313" width="12" style="252" customWidth="1"/>
    <col min="3314" max="3314" width="5.42578125" style="252" customWidth="1"/>
    <col min="3315" max="3315" width="8.85546875" style="252" customWidth="1"/>
    <col min="3316" max="3316" width="1.28515625" style="252" customWidth="1"/>
    <col min="3317" max="3317" width="8.28515625" style="252" customWidth="1"/>
    <col min="3318" max="3318" width="22.85546875" style="252" customWidth="1"/>
    <col min="3319" max="3567" width="9.140625" style="252"/>
    <col min="3568" max="3568" width="30.42578125" style="252" customWidth="1"/>
    <col min="3569" max="3569" width="12" style="252" customWidth="1"/>
    <col min="3570" max="3570" width="5.42578125" style="252" customWidth="1"/>
    <col min="3571" max="3571" width="8.85546875" style="252" customWidth="1"/>
    <col min="3572" max="3572" width="1.28515625" style="252" customWidth="1"/>
    <col min="3573" max="3573" width="8.28515625" style="252" customWidth="1"/>
    <col min="3574" max="3574" width="22.85546875" style="252" customWidth="1"/>
    <col min="3575" max="3823" width="9.140625" style="252"/>
    <col min="3824" max="3824" width="30.42578125" style="252" customWidth="1"/>
    <col min="3825" max="3825" width="12" style="252" customWidth="1"/>
    <col min="3826" max="3826" width="5.42578125" style="252" customWidth="1"/>
    <col min="3827" max="3827" width="8.85546875" style="252" customWidth="1"/>
    <col min="3828" max="3828" width="1.28515625" style="252" customWidth="1"/>
    <col min="3829" max="3829" width="8.28515625" style="252" customWidth="1"/>
    <col min="3830" max="3830" width="22.85546875" style="252" customWidth="1"/>
    <col min="3831" max="4079" width="9.140625" style="252"/>
    <col min="4080" max="4080" width="30.42578125" style="252" customWidth="1"/>
    <col min="4081" max="4081" width="12" style="252" customWidth="1"/>
    <col min="4082" max="4082" width="5.42578125" style="252" customWidth="1"/>
    <col min="4083" max="4083" width="8.85546875" style="252" customWidth="1"/>
    <col min="4084" max="4084" width="1.28515625" style="252" customWidth="1"/>
    <col min="4085" max="4085" width="8.28515625" style="252" customWidth="1"/>
    <col min="4086" max="4086" width="22.85546875" style="252" customWidth="1"/>
    <col min="4087" max="4335" width="9.140625" style="252"/>
    <col min="4336" max="4336" width="30.42578125" style="252" customWidth="1"/>
    <col min="4337" max="4337" width="12" style="252" customWidth="1"/>
    <col min="4338" max="4338" width="5.42578125" style="252" customWidth="1"/>
    <col min="4339" max="4339" width="8.85546875" style="252" customWidth="1"/>
    <col min="4340" max="4340" width="1.28515625" style="252" customWidth="1"/>
    <col min="4341" max="4341" width="8.28515625" style="252" customWidth="1"/>
    <col min="4342" max="4342" width="22.85546875" style="252" customWidth="1"/>
    <col min="4343" max="4591" width="9.140625" style="252"/>
    <col min="4592" max="4592" width="30.42578125" style="252" customWidth="1"/>
    <col min="4593" max="4593" width="12" style="252" customWidth="1"/>
    <col min="4594" max="4594" width="5.42578125" style="252" customWidth="1"/>
    <col min="4595" max="4595" width="8.85546875" style="252" customWidth="1"/>
    <col min="4596" max="4596" width="1.28515625" style="252" customWidth="1"/>
    <col min="4597" max="4597" width="8.28515625" style="252" customWidth="1"/>
    <col min="4598" max="4598" width="22.85546875" style="252" customWidth="1"/>
    <col min="4599" max="4847" width="9.140625" style="252"/>
    <col min="4848" max="4848" width="30.42578125" style="252" customWidth="1"/>
    <col min="4849" max="4849" width="12" style="252" customWidth="1"/>
    <col min="4850" max="4850" width="5.42578125" style="252" customWidth="1"/>
    <col min="4851" max="4851" width="8.85546875" style="252" customWidth="1"/>
    <col min="4852" max="4852" width="1.28515625" style="252" customWidth="1"/>
    <col min="4853" max="4853" width="8.28515625" style="252" customWidth="1"/>
    <col min="4854" max="4854" width="22.85546875" style="252" customWidth="1"/>
    <col min="4855" max="5103" width="9.140625" style="252"/>
    <col min="5104" max="5104" width="30.42578125" style="252" customWidth="1"/>
    <col min="5105" max="5105" width="12" style="252" customWidth="1"/>
    <col min="5106" max="5106" width="5.42578125" style="252" customWidth="1"/>
    <col min="5107" max="5107" width="8.85546875" style="252" customWidth="1"/>
    <col min="5108" max="5108" width="1.28515625" style="252" customWidth="1"/>
    <col min="5109" max="5109" width="8.28515625" style="252" customWidth="1"/>
    <col min="5110" max="5110" width="22.85546875" style="252" customWidth="1"/>
    <col min="5111" max="5359" width="9.140625" style="252"/>
    <col min="5360" max="5360" width="30.42578125" style="252" customWidth="1"/>
    <col min="5361" max="5361" width="12" style="252" customWidth="1"/>
    <col min="5362" max="5362" width="5.42578125" style="252" customWidth="1"/>
    <col min="5363" max="5363" width="8.85546875" style="252" customWidth="1"/>
    <col min="5364" max="5364" width="1.28515625" style="252" customWidth="1"/>
    <col min="5365" max="5365" width="8.28515625" style="252" customWidth="1"/>
    <col min="5366" max="5366" width="22.85546875" style="252" customWidth="1"/>
    <col min="5367" max="5615" width="9.140625" style="252"/>
    <col min="5616" max="5616" width="30.42578125" style="252" customWidth="1"/>
    <col min="5617" max="5617" width="12" style="252" customWidth="1"/>
    <col min="5618" max="5618" width="5.42578125" style="252" customWidth="1"/>
    <col min="5619" max="5619" width="8.85546875" style="252" customWidth="1"/>
    <col min="5620" max="5620" width="1.28515625" style="252" customWidth="1"/>
    <col min="5621" max="5621" width="8.28515625" style="252" customWidth="1"/>
    <col min="5622" max="5622" width="22.85546875" style="252" customWidth="1"/>
    <col min="5623" max="5871" width="9.140625" style="252"/>
    <col min="5872" max="5872" width="30.42578125" style="252" customWidth="1"/>
    <col min="5873" max="5873" width="12" style="252" customWidth="1"/>
    <col min="5874" max="5874" width="5.42578125" style="252" customWidth="1"/>
    <col min="5875" max="5875" width="8.85546875" style="252" customWidth="1"/>
    <col min="5876" max="5876" width="1.28515625" style="252" customWidth="1"/>
    <col min="5877" max="5877" width="8.28515625" style="252" customWidth="1"/>
    <col min="5878" max="5878" width="22.85546875" style="252" customWidth="1"/>
    <col min="5879" max="6127" width="9.140625" style="252"/>
    <col min="6128" max="6128" width="30.42578125" style="252" customWidth="1"/>
    <col min="6129" max="6129" width="12" style="252" customWidth="1"/>
    <col min="6130" max="6130" width="5.42578125" style="252" customWidth="1"/>
    <col min="6131" max="6131" width="8.85546875" style="252" customWidth="1"/>
    <col min="6132" max="6132" width="1.28515625" style="252" customWidth="1"/>
    <col min="6133" max="6133" width="8.28515625" style="252" customWidth="1"/>
    <col min="6134" max="6134" width="22.85546875" style="252" customWidth="1"/>
    <col min="6135" max="6383" width="9.140625" style="252"/>
    <col min="6384" max="6384" width="30.42578125" style="252" customWidth="1"/>
    <col min="6385" max="6385" width="12" style="252" customWidth="1"/>
    <col min="6386" max="6386" width="5.42578125" style="252" customWidth="1"/>
    <col min="6387" max="6387" width="8.85546875" style="252" customWidth="1"/>
    <col min="6388" max="6388" width="1.28515625" style="252" customWidth="1"/>
    <col min="6389" max="6389" width="8.28515625" style="252" customWidth="1"/>
    <col min="6390" max="6390" width="22.85546875" style="252" customWidth="1"/>
    <col min="6391" max="6639" width="9.140625" style="252"/>
    <col min="6640" max="6640" width="30.42578125" style="252" customWidth="1"/>
    <col min="6641" max="6641" width="12" style="252" customWidth="1"/>
    <col min="6642" max="6642" width="5.42578125" style="252" customWidth="1"/>
    <col min="6643" max="6643" width="8.85546875" style="252" customWidth="1"/>
    <col min="6644" max="6644" width="1.28515625" style="252" customWidth="1"/>
    <col min="6645" max="6645" width="8.28515625" style="252" customWidth="1"/>
    <col min="6646" max="6646" width="22.85546875" style="252" customWidth="1"/>
    <col min="6647" max="6895" width="9.140625" style="252"/>
    <col min="6896" max="6896" width="30.42578125" style="252" customWidth="1"/>
    <col min="6897" max="6897" width="12" style="252" customWidth="1"/>
    <col min="6898" max="6898" width="5.42578125" style="252" customWidth="1"/>
    <col min="6899" max="6899" width="8.85546875" style="252" customWidth="1"/>
    <col min="6900" max="6900" width="1.28515625" style="252" customWidth="1"/>
    <col min="6901" max="6901" width="8.28515625" style="252" customWidth="1"/>
    <col min="6902" max="6902" width="22.85546875" style="252" customWidth="1"/>
    <col min="6903" max="7151" width="9.140625" style="252"/>
    <col min="7152" max="7152" width="30.42578125" style="252" customWidth="1"/>
    <col min="7153" max="7153" width="12" style="252" customWidth="1"/>
    <col min="7154" max="7154" width="5.42578125" style="252" customWidth="1"/>
    <col min="7155" max="7155" width="8.85546875" style="252" customWidth="1"/>
    <col min="7156" max="7156" width="1.28515625" style="252" customWidth="1"/>
    <col min="7157" max="7157" width="8.28515625" style="252" customWidth="1"/>
    <col min="7158" max="7158" width="22.85546875" style="252" customWidth="1"/>
    <col min="7159" max="7407" width="9.140625" style="252"/>
    <col min="7408" max="7408" width="30.42578125" style="252" customWidth="1"/>
    <col min="7409" max="7409" width="12" style="252" customWidth="1"/>
    <col min="7410" max="7410" width="5.42578125" style="252" customWidth="1"/>
    <col min="7411" max="7411" width="8.85546875" style="252" customWidth="1"/>
    <col min="7412" max="7412" width="1.28515625" style="252" customWidth="1"/>
    <col min="7413" max="7413" width="8.28515625" style="252" customWidth="1"/>
    <col min="7414" max="7414" width="22.85546875" style="252" customWidth="1"/>
    <col min="7415" max="7663" width="9.140625" style="252"/>
    <col min="7664" max="7664" width="30.42578125" style="252" customWidth="1"/>
    <col min="7665" max="7665" width="12" style="252" customWidth="1"/>
    <col min="7666" max="7666" width="5.42578125" style="252" customWidth="1"/>
    <col min="7667" max="7667" width="8.85546875" style="252" customWidth="1"/>
    <col min="7668" max="7668" width="1.28515625" style="252" customWidth="1"/>
    <col min="7669" max="7669" width="8.28515625" style="252" customWidth="1"/>
    <col min="7670" max="7670" width="22.85546875" style="252" customWidth="1"/>
    <col min="7671" max="7919" width="9.140625" style="252"/>
    <col min="7920" max="7920" width="30.42578125" style="252" customWidth="1"/>
    <col min="7921" max="7921" width="12" style="252" customWidth="1"/>
    <col min="7922" max="7922" width="5.42578125" style="252" customWidth="1"/>
    <col min="7923" max="7923" width="8.85546875" style="252" customWidth="1"/>
    <col min="7924" max="7924" width="1.28515625" style="252" customWidth="1"/>
    <col min="7925" max="7925" width="8.28515625" style="252" customWidth="1"/>
    <col min="7926" max="7926" width="22.85546875" style="252" customWidth="1"/>
    <col min="7927" max="8175" width="9.140625" style="252"/>
    <col min="8176" max="8176" width="30.42578125" style="252" customWidth="1"/>
    <col min="8177" max="8177" width="12" style="252" customWidth="1"/>
    <col min="8178" max="8178" width="5.42578125" style="252" customWidth="1"/>
    <col min="8179" max="8179" width="8.85546875" style="252" customWidth="1"/>
    <col min="8180" max="8180" width="1.28515625" style="252" customWidth="1"/>
    <col min="8181" max="8181" width="8.28515625" style="252" customWidth="1"/>
    <col min="8182" max="8182" width="22.85546875" style="252" customWidth="1"/>
    <col min="8183" max="8431" width="9.140625" style="252"/>
    <col min="8432" max="8432" width="30.42578125" style="252" customWidth="1"/>
    <col min="8433" max="8433" width="12" style="252" customWidth="1"/>
    <col min="8434" max="8434" width="5.42578125" style="252" customWidth="1"/>
    <col min="8435" max="8435" width="8.85546875" style="252" customWidth="1"/>
    <col min="8436" max="8436" width="1.28515625" style="252" customWidth="1"/>
    <col min="8437" max="8437" width="8.28515625" style="252" customWidth="1"/>
    <col min="8438" max="8438" width="22.85546875" style="252" customWidth="1"/>
    <col min="8439" max="8687" width="9.140625" style="252"/>
    <col min="8688" max="8688" width="30.42578125" style="252" customWidth="1"/>
    <col min="8689" max="8689" width="12" style="252" customWidth="1"/>
    <col min="8690" max="8690" width="5.42578125" style="252" customWidth="1"/>
    <col min="8691" max="8691" width="8.85546875" style="252" customWidth="1"/>
    <col min="8692" max="8692" width="1.28515625" style="252" customWidth="1"/>
    <col min="8693" max="8693" width="8.28515625" style="252" customWidth="1"/>
    <col min="8694" max="8694" width="22.85546875" style="252" customWidth="1"/>
    <col min="8695" max="8943" width="9.140625" style="252"/>
    <col min="8944" max="8944" width="30.42578125" style="252" customWidth="1"/>
    <col min="8945" max="8945" width="12" style="252" customWidth="1"/>
    <col min="8946" max="8946" width="5.42578125" style="252" customWidth="1"/>
    <col min="8947" max="8947" width="8.85546875" style="252" customWidth="1"/>
    <col min="8948" max="8948" width="1.28515625" style="252" customWidth="1"/>
    <col min="8949" max="8949" width="8.28515625" style="252" customWidth="1"/>
    <col min="8950" max="8950" width="22.85546875" style="252" customWidth="1"/>
    <col min="8951" max="9199" width="9.140625" style="252"/>
    <col min="9200" max="9200" width="30.42578125" style="252" customWidth="1"/>
    <col min="9201" max="9201" width="12" style="252" customWidth="1"/>
    <col min="9202" max="9202" width="5.42578125" style="252" customWidth="1"/>
    <col min="9203" max="9203" width="8.85546875" style="252" customWidth="1"/>
    <col min="9204" max="9204" width="1.28515625" style="252" customWidth="1"/>
    <col min="9205" max="9205" width="8.28515625" style="252" customWidth="1"/>
    <col min="9206" max="9206" width="22.85546875" style="252" customWidth="1"/>
    <col min="9207" max="9455" width="9.140625" style="252"/>
    <col min="9456" max="9456" width="30.42578125" style="252" customWidth="1"/>
    <col min="9457" max="9457" width="12" style="252" customWidth="1"/>
    <col min="9458" max="9458" width="5.42578125" style="252" customWidth="1"/>
    <col min="9459" max="9459" width="8.85546875" style="252" customWidth="1"/>
    <col min="9460" max="9460" width="1.28515625" style="252" customWidth="1"/>
    <col min="9461" max="9461" width="8.28515625" style="252" customWidth="1"/>
    <col min="9462" max="9462" width="22.85546875" style="252" customWidth="1"/>
    <col min="9463" max="9711" width="9.140625" style="252"/>
    <col min="9712" max="9712" width="30.42578125" style="252" customWidth="1"/>
    <col min="9713" max="9713" width="12" style="252" customWidth="1"/>
    <col min="9714" max="9714" width="5.42578125" style="252" customWidth="1"/>
    <col min="9715" max="9715" width="8.85546875" style="252" customWidth="1"/>
    <col min="9716" max="9716" width="1.28515625" style="252" customWidth="1"/>
    <col min="9717" max="9717" width="8.28515625" style="252" customWidth="1"/>
    <col min="9718" max="9718" width="22.85546875" style="252" customWidth="1"/>
    <col min="9719" max="9967" width="9.140625" style="252"/>
    <col min="9968" max="9968" width="30.42578125" style="252" customWidth="1"/>
    <col min="9969" max="9969" width="12" style="252" customWidth="1"/>
    <col min="9970" max="9970" width="5.42578125" style="252" customWidth="1"/>
    <col min="9971" max="9971" width="8.85546875" style="252" customWidth="1"/>
    <col min="9972" max="9972" width="1.28515625" style="252" customWidth="1"/>
    <col min="9973" max="9973" width="8.28515625" style="252" customWidth="1"/>
    <col min="9974" max="9974" width="22.85546875" style="252" customWidth="1"/>
    <col min="9975" max="10223" width="9.140625" style="252"/>
    <col min="10224" max="10224" width="30.42578125" style="252" customWidth="1"/>
    <col min="10225" max="10225" width="12" style="252" customWidth="1"/>
    <col min="10226" max="10226" width="5.42578125" style="252" customWidth="1"/>
    <col min="10227" max="10227" width="8.85546875" style="252" customWidth="1"/>
    <col min="10228" max="10228" width="1.28515625" style="252" customWidth="1"/>
    <col min="10229" max="10229" width="8.28515625" style="252" customWidth="1"/>
    <col min="10230" max="10230" width="22.85546875" style="252" customWidth="1"/>
    <col min="10231" max="10479" width="9.140625" style="252"/>
    <col min="10480" max="10480" width="30.42578125" style="252" customWidth="1"/>
    <col min="10481" max="10481" width="12" style="252" customWidth="1"/>
    <col min="10482" max="10482" width="5.42578125" style="252" customWidth="1"/>
    <col min="10483" max="10483" width="8.85546875" style="252" customWidth="1"/>
    <col min="10484" max="10484" width="1.28515625" style="252" customWidth="1"/>
    <col min="10485" max="10485" width="8.28515625" style="252" customWidth="1"/>
    <col min="10486" max="10486" width="22.85546875" style="252" customWidth="1"/>
    <col min="10487" max="10735" width="9.140625" style="252"/>
    <col min="10736" max="10736" width="30.42578125" style="252" customWidth="1"/>
    <col min="10737" max="10737" width="12" style="252" customWidth="1"/>
    <col min="10738" max="10738" width="5.42578125" style="252" customWidth="1"/>
    <col min="10739" max="10739" width="8.85546875" style="252" customWidth="1"/>
    <col min="10740" max="10740" width="1.28515625" style="252" customWidth="1"/>
    <col min="10741" max="10741" width="8.28515625" style="252" customWidth="1"/>
    <col min="10742" max="10742" width="22.85546875" style="252" customWidth="1"/>
    <col min="10743" max="10991" width="9.140625" style="252"/>
    <col min="10992" max="10992" width="30.42578125" style="252" customWidth="1"/>
    <col min="10993" max="10993" width="12" style="252" customWidth="1"/>
    <col min="10994" max="10994" width="5.42578125" style="252" customWidth="1"/>
    <col min="10995" max="10995" width="8.85546875" style="252" customWidth="1"/>
    <col min="10996" max="10996" width="1.28515625" style="252" customWidth="1"/>
    <col min="10997" max="10997" width="8.28515625" style="252" customWidth="1"/>
    <col min="10998" max="10998" width="22.85546875" style="252" customWidth="1"/>
    <col min="10999" max="11247" width="9.140625" style="252"/>
    <col min="11248" max="11248" width="30.42578125" style="252" customWidth="1"/>
    <col min="11249" max="11249" width="12" style="252" customWidth="1"/>
    <col min="11250" max="11250" width="5.42578125" style="252" customWidth="1"/>
    <col min="11251" max="11251" width="8.85546875" style="252" customWidth="1"/>
    <col min="11252" max="11252" width="1.28515625" style="252" customWidth="1"/>
    <col min="11253" max="11253" width="8.28515625" style="252" customWidth="1"/>
    <col min="11254" max="11254" width="22.85546875" style="252" customWidth="1"/>
    <col min="11255" max="11503" width="9.140625" style="252"/>
    <col min="11504" max="11504" width="30.42578125" style="252" customWidth="1"/>
    <col min="11505" max="11505" width="12" style="252" customWidth="1"/>
    <col min="11506" max="11506" width="5.42578125" style="252" customWidth="1"/>
    <col min="11507" max="11507" width="8.85546875" style="252" customWidth="1"/>
    <col min="11508" max="11508" width="1.28515625" style="252" customWidth="1"/>
    <col min="11509" max="11509" width="8.28515625" style="252" customWidth="1"/>
    <col min="11510" max="11510" width="22.85546875" style="252" customWidth="1"/>
    <col min="11511" max="11759" width="9.140625" style="252"/>
    <col min="11760" max="11760" width="30.42578125" style="252" customWidth="1"/>
    <col min="11761" max="11761" width="12" style="252" customWidth="1"/>
    <col min="11762" max="11762" width="5.42578125" style="252" customWidth="1"/>
    <col min="11763" max="11763" width="8.85546875" style="252" customWidth="1"/>
    <col min="11764" max="11764" width="1.28515625" style="252" customWidth="1"/>
    <col min="11765" max="11765" width="8.28515625" style="252" customWidth="1"/>
    <col min="11766" max="11766" width="22.85546875" style="252" customWidth="1"/>
    <col min="11767" max="12015" width="9.140625" style="252"/>
    <col min="12016" max="12016" width="30.42578125" style="252" customWidth="1"/>
    <col min="12017" max="12017" width="12" style="252" customWidth="1"/>
    <col min="12018" max="12018" width="5.42578125" style="252" customWidth="1"/>
    <col min="12019" max="12019" width="8.85546875" style="252" customWidth="1"/>
    <col min="12020" max="12020" width="1.28515625" style="252" customWidth="1"/>
    <col min="12021" max="12021" width="8.28515625" style="252" customWidth="1"/>
    <col min="12022" max="12022" width="22.85546875" style="252" customWidth="1"/>
    <col min="12023" max="12271" width="9.140625" style="252"/>
    <col min="12272" max="12272" width="30.42578125" style="252" customWidth="1"/>
    <col min="12273" max="12273" width="12" style="252" customWidth="1"/>
    <col min="12274" max="12274" width="5.42578125" style="252" customWidth="1"/>
    <col min="12275" max="12275" width="8.85546875" style="252" customWidth="1"/>
    <col min="12276" max="12276" width="1.28515625" style="252" customWidth="1"/>
    <col min="12277" max="12277" width="8.28515625" style="252" customWidth="1"/>
    <col min="12278" max="12278" width="22.85546875" style="252" customWidth="1"/>
    <col min="12279" max="12527" width="9.140625" style="252"/>
    <col min="12528" max="12528" width="30.42578125" style="252" customWidth="1"/>
    <col min="12529" max="12529" width="12" style="252" customWidth="1"/>
    <col min="12530" max="12530" width="5.42578125" style="252" customWidth="1"/>
    <col min="12531" max="12531" width="8.85546875" style="252" customWidth="1"/>
    <col min="12532" max="12532" width="1.28515625" style="252" customWidth="1"/>
    <col min="12533" max="12533" width="8.28515625" style="252" customWidth="1"/>
    <col min="12534" max="12534" width="22.85546875" style="252" customWidth="1"/>
    <col min="12535" max="12783" width="9.140625" style="252"/>
    <col min="12784" max="12784" width="30.42578125" style="252" customWidth="1"/>
    <col min="12785" max="12785" width="12" style="252" customWidth="1"/>
    <col min="12786" max="12786" width="5.42578125" style="252" customWidth="1"/>
    <col min="12787" max="12787" width="8.85546875" style="252" customWidth="1"/>
    <col min="12788" max="12788" width="1.28515625" style="252" customWidth="1"/>
    <col min="12789" max="12789" width="8.28515625" style="252" customWidth="1"/>
    <col min="12790" max="12790" width="22.85546875" style="252" customWidth="1"/>
    <col min="12791" max="13039" width="9.140625" style="252"/>
    <col min="13040" max="13040" width="30.42578125" style="252" customWidth="1"/>
    <col min="13041" max="13041" width="12" style="252" customWidth="1"/>
    <col min="13042" max="13042" width="5.42578125" style="252" customWidth="1"/>
    <col min="13043" max="13043" width="8.85546875" style="252" customWidth="1"/>
    <col min="13044" max="13044" width="1.28515625" style="252" customWidth="1"/>
    <col min="13045" max="13045" width="8.28515625" style="252" customWidth="1"/>
    <col min="13046" max="13046" width="22.85546875" style="252" customWidth="1"/>
    <col min="13047" max="13295" width="9.140625" style="252"/>
    <col min="13296" max="13296" width="30.42578125" style="252" customWidth="1"/>
    <col min="13297" max="13297" width="12" style="252" customWidth="1"/>
    <col min="13298" max="13298" width="5.42578125" style="252" customWidth="1"/>
    <col min="13299" max="13299" width="8.85546875" style="252" customWidth="1"/>
    <col min="13300" max="13300" width="1.28515625" style="252" customWidth="1"/>
    <col min="13301" max="13301" width="8.28515625" style="252" customWidth="1"/>
    <col min="13302" max="13302" width="22.85546875" style="252" customWidth="1"/>
    <col min="13303" max="13551" width="9.140625" style="252"/>
    <col min="13552" max="13552" width="30.42578125" style="252" customWidth="1"/>
    <col min="13553" max="13553" width="12" style="252" customWidth="1"/>
    <col min="13554" max="13554" width="5.42578125" style="252" customWidth="1"/>
    <col min="13555" max="13555" width="8.85546875" style="252" customWidth="1"/>
    <col min="13556" max="13556" width="1.28515625" style="252" customWidth="1"/>
    <col min="13557" max="13557" width="8.28515625" style="252" customWidth="1"/>
    <col min="13558" max="13558" width="22.85546875" style="252" customWidth="1"/>
    <col min="13559" max="13807" width="9.140625" style="252"/>
    <col min="13808" max="13808" width="30.42578125" style="252" customWidth="1"/>
    <col min="13809" max="13809" width="12" style="252" customWidth="1"/>
    <col min="13810" max="13810" width="5.42578125" style="252" customWidth="1"/>
    <col min="13811" max="13811" width="8.85546875" style="252" customWidth="1"/>
    <col min="13812" max="13812" width="1.28515625" style="252" customWidth="1"/>
    <col min="13813" max="13813" width="8.28515625" style="252" customWidth="1"/>
    <col min="13814" max="13814" width="22.85546875" style="252" customWidth="1"/>
    <col min="13815" max="14063" width="9.140625" style="252"/>
    <col min="14064" max="14064" width="30.42578125" style="252" customWidth="1"/>
    <col min="14065" max="14065" width="12" style="252" customWidth="1"/>
    <col min="14066" max="14066" width="5.42578125" style="252" customWidth="1"/>
    <col min="14067" max="14067" width="8.85546875" style="252" customWidth="1"/>
    <col min="14068" max="14068" width="1.28515625" style="252" customWidth="1"/>
    <col min="14069" max="14069" width="8.28515625" style="252" customWidth="1"/>
    <col min="14070" max="14070" width="22.85546875" style="252" customWidth="1"/>
    <col min="14071" max="14319" width="9.140625" style="252"/>
    <col min="14320" max="14320" width="30.42578125" style="252" customWidth="1"/>
    <col min="14321" max="14321" width="12" style="252" customWidth="1"/>
    <col min="14322" max="14322" width="5.42578125" style="252" customWidth="1"/>
    <col min="14323" max="14323" width="8.85546875" style="252" customWidth="1"/>
    <col min="14324" max="14324" width="1.28515625" style="252" customWidth="1"/>
    <col min="14325" max="14325" width="8.28515625" style="252" customWidth="1"/>
    <col min="14326" max="14326" width="22.85546875" style="252" customWidth="1"/>
    <col min="14327" max="14575" width="9.140625" style="252"/>
    <col min="14576" max="14576" width="30.42578125" style="252" customWidth="1"/>
    <col min="14577" max="14577" width="12" style="252" customWidth="1"/>
    <col min="14578" max="14578" width="5.42578125" style="252" customWidth="1"/>
    <col min="14579" max="14579" width="8.85546875" style="252" customWidth="1"/>
    <col min="14580" max="14580" width="1.28515625" style="252" customWidth="1"/>
    <col min="14581" max="14581" width="8.28515625" style="252" customWidth="1"/>
    <col min="14582" max="14582" width="22.85546875" style="252" customWidth="1"/>
    <col min="14583" max="14831" width="9.140625" style="252"/>
    <col min="14832" max="14832" width="30.42578125" style="252" customWidth="1"/>
    <col min="14833" max="14833" width="12" style="252" customWidth="1"/>
    <col min="14834" max="14834" width="5.42578125" style="252" customWidth="1"/>
    <col min="14835" max="14835" width="8.85546875" style="252" customWidth="1"/>
    <col min="14836" max="14836" width="1.28515625" style="252" customWidth="1"/>
    <col min="14837" max="14837" width="8.28515625" style="252" customWidth="1"/>
    <col min="14838" max="14838" width="22.85546875" style="252" customWidth="1"/>
    <col min="14839" max="15087" width="9.140625" style="252"/>
    <col min="15088" max="15088" width="30.42578125" style="252" customWidth="1"/>
    <col min="15089" max="15089" width="12" style="252" customWidth="1"/>
    <col min="15090" max="15090" width="5.42578125" style="252" customWidth="1"/>
    <col min="15091" max="15091" width="8.85546875" style="252" customWidth="1"/>
    <col min="15092" max="15092" width="1.28515625" style="252" customWidth="1"/>
    <col min="15093" max="15093" width="8.28515625" style="252" customWidth="1"/>
    <col min="15094" max="15094" width="22.85546875" style="252" customWidth="1"/>
    <col min="15095" max="15343" width="9.140625" style="252"/>
    <col min="15344" max="15344" width="30.42578125" style="252" customWidth="1"/>
    <col min="15345" max="15345" width="12" style="252" customWidth="1"/>
    <col min="15346" max="15346" width="5.42578125" style="252" customWidth="1"/>
    <col min="15347" max="15347" width="8.85546875" style="252" customWidth="1"/>
    <col min="15348" max="15348" width="1.28515625" style="252" customWidth="1"/>
    <col min="15349" max="15349" width="8.28515625" style="252" customWidth="1"/>
    <col min="15350" max="15350" width="22.85546875" style="252" customWidth="1"/>
    <col min="15351" max="15599" width="9.140625" style="252"/>
    <col min="15600" max="15600" width="30.42578125" style="252" customWidth="1"/>
    <col min="15601" max="15601" width="12" style="252" customWidth="1"/>
    <col min="15602" max="15602" width="5.42578125" style="252" customWidth="1"/>
    <col min="15603" max="15603" width="8.85546875" style="252" customWidth="1"/>
    <col min="15604" max="15604" width="1.28515625" style="252" customWidth="1"/>
    <col min="15605" max="15605" width="8.28515625" style="252" customWidth="1"/>
    <col min="15606" max="15606" width="22.85546875" style="252" customWidth="1"/>
    <col min="15607" max="15855" width="9.140625" style="252"/>
    <col min="15856" max="15856" width="30.42578125" style="252" customWidth="1"/>
    <col min="15857" max="15857" width="12" style="252" customWidth="1"/>
    <col min="15858" max="15858" width="5.42578125" style="252" customWidth="1"/>
    <col min="15859" max="15859" width="8.85546875" style="252" customWidth="1"/>
    <col min="15860" max="15860" width="1.28515625" style="252" customWidth="1"/>
    <col min="15861" max="15861" width="8.28515625" style="252" customWidth="1"/>
    <col min="15862" max="15862" width="22.85546875" style="252" customWidth="1"/>
    <col min="15863" max="16111" width="9.140625" style="252"/>
    <col min="16112" max="16112" width="30.42578125" style="252" customWidth="1"/>
    <col min="16113" max="16113" width="12" style="252" customWidth="1"/>
    <col min="16114" max="16114" width="5.42578125" style="252" customWidth="1"/>
    <col min="16115" max="16115" width="8.85546875" style="252" customWidth="1"/>
    <col min="16116" max="16116" width="1.28515625" style="252" customWidth="1"/>
    <col min="16117" max="16117" width="8.28515625" style="252" customWidth="1"/>
    <col min="16118" max="16118" width="22.85546875" style="252" customWidth="1"/>
    <col min="16119" max="16384" width="9.140625" style="252"/>
  </cols>
  <sheetData>
    <row r="1" spans="1:6" x14ac:dyDescent="0.25">
      <c r="A1" s="268" t="str">
        <f>IF('Estimate Template'!A4="OSU-######", "RENOV######",'Estimate Template'!A4)</f>
        <v>RENOV######</v>
      </c>
      <c r="B1" s="49"/>
      <c r="C1" s="49"/>
      <c r="D1" s="49"/>
      <c r="E1" s="269"/>
      <c r="F1" s="270"/>
    </row>
    <row r="2" spans="1:6" x14ac:dyDescent="0.25">
      <c r="A2" s="908" t="str">
        <f>'Estimate Template'!A5</f>
        <v>Project Name</v>
      </c>
      <c r="B2" s="909"/>
      <c r="C2" s="271"/>
      <c r="D2" s="271"/>
      <c r="E2" s="271"/>
      <c r="F2" s="272"/>
    </row>
    <row r="3" spans="1:6" x14ac:dyDescent="0.25">
      <c r="A3" s="273" t="s">
        <v>272</v>
      </c>
      <c r="B3" s="274"/>
      <c r="C3" s="275"/>
      <c r="D3" s="275"/>
      <c r="E3" s="275"/>
      <c r="F3" s="272"/>
    </row>
    <row r="4" spans="1:6" ht="15.75" thickBot="1" x14ac:dyDescent="0.3">
      <c r="A4" s="276"/>
      <c r="B4" s="277"/>
      <c r="C4" s="54"/>
      <c r="D4" s="278"/>
      <c r="E4" s="55"/>
      <c r="F4" s="279"/>
    </row>
    <row r="5" spans="1:6" ht="12" customHeight="1" thickBot="1" x14ac:dyDescent="0.3">
      <c r="A5" s="910" t="s">
        <v>273</v>
      </c>
      <c r="B5" s="911"/>
      <c r="C5" s="911"/>
      <c r="D5" s="911"/>
      <c r="E5" s="911"/>
      <c r="F5" s="912"/>
    </row>
    <row r="6" spans="1:6" ht="15.75" thickBot="1" x14ac:dyDescent="0.3">
      <c r="A6" s="280"/>
      <c r="B6" s="292" t="s">
        <v>274</v>
      </c>
      <c r="C6" s="293" t="s">
        <v>275</v>
      </c>
      <c r="D6" s="293" t="s">
        <v>275</v>
      </c>
      <c r="E6" s="293" t="s">
        <v>275</v>
      </c>
      <c r="F6" s="294"/>
    </row>
    <row r="7" spans="1:6" x14ac:dyDescent="0.25">
      <c r="A7" s="281" t="s">
        <v>276</v>
      </c>
      <c r="B7" s="282">
        <f>'Total Project Estimate (PDF ME)'!G117</f>
        <v>0</v>
      </c>
      <c r="C7" s="283"/>
      <c r="D7" s="283"/>
      <c r="E7" s="366"/>
      <c r="F7" s="402">
        <f>SUM(B7:E7)</f>
        <v>0</v>
      </c>
    </row>
    <row r="8" spans="1:6" x14ac:dyDescent="0.25">
      <c r="A8" s="52" t="s">
        <v>393</v>
      </c>
      <c r="B8" s="284"/>
      <c r="C8" s="285"/>
      <c r="D8" s="285"/>
      <c r="E8" s="367"/>
      <c r="F8" s="403">
        <f t="shared" ref="F8:F13" si="0">SUM(B8:E8)</f>
        <v>0</v>
      </c>
    </row>
    <row r="9" spans="1:6" s="267" customFormat="1" ht="12.75" x14ac:dyDescent="0.2">
      <c r="A9" s="52" t="s">
        <v>277</v>
      </c>
      <c r="B9" s="284"/>
      <c r="C9" s="285"/>
      <c r="D9" s="285"/>
      <c r="E9" s="367"/>
      <c r="F9" s="403">
        <f t="shared" si="0"/>
        <v>0</v>
      </c>
    </row>
    <row r="10" spans="1:6" s="267" customFormat="1" ht="12.75" x14ac:dyDescent="0.2">
      <c r="A10" s="52" t="s">
        <v>278</v>
      </c>
      <c r="B10" s="284"/>
      <c r="C10" s="285"/>
      <c r="D10" s="285"/>
      <c r="E10" s="367"/>
      <c r="F10" s="403">
        <f t="shared" si="0"/>
        <v>0</v>
      </c>
    </row>
    <row r="11" spans="1:6" s="267" customFormat="1" ht="12.75" x14ac:dyDescent="0.2">
      <c r="A11" s="52" t="s">
        <v>279</v>
      </c>
      <c r="B11" s="284"/>
      <c r="C11" s="285"/>
      <c r="D11" s="285"/>
      <c r="E11" s="367"/>
      <c r="F11" s="403">
        <f t="shared" si="0"/>
        <v>0</v>
      </c>
    </row>
    <row r="12" spans="1:6" s="267" customFormat="1" ht="12.75" x14ac:dyDescent="0.2">
      <c r="A12" s="52" t="s">
        <v>280</v>
      </c>
      <c r="B12" s="284"/>
      <c r="C12" s="285"/>
      <c r="D12" s="285"/>
      <c r="E12" s="367"/>
      <c r="F12" s="403">
        <f t="shared" si="0"/>
        <v>0</v>
      </c>
    </row>
    <row r="13" spans="1:6" s="267" customFormat="1" ht="12.75" x14ac:dyDescent="0.2">
      <c r="A13" s="52" t="s">
        <v>281</v>
      </c>
      <c r="B13" s="284"/>
      <c r="C13" s="285"/>
      <c r="D13" s="285"/>
      <c r="E13" s="367"/>
      <c r="F13" s="403">
        <f t="shared" si="0"/>
        <v>0</v>
      </c>
    </row>
    <row r="14" spans="1:6" s="267" customFormat="1" ht="12.75" x14ac:dyDescent="0.2">
      <c r="A14" s="286" t="s">
        <v>81</v>
      </c>
      <c r="B14" s="284"/>
      <c r="C14" s="285"/>
      <c r="D14" s="285"/>
      <c r="E14" s="367"/>
      <c r="F14" s="403">
        <f>SUM(F7:F13)</f>
        <v>0</v>
      </c>
    </row>
    <row r="15" spans="1:6" s="267" customFormat="1" ht="13.5" thickBot="1" x14ac:dyDescent="0.25">
      <c r="A15" s="52" t="s">
        <v>402</v>
      </c>
      <c r="B15" s="287">
        <f>0.1*SUM(B8:B13)</f>
        <v>0</v>
      </c>
      <c r="C15" s="288">
        <f>0.1*SUM(C8:C13)</f>
        <v>0</v>
      </c>
      <c r="D15" s="288">
        <f>0.1*SUM(D8:D13)</f>
        <v>0</v>
      </c>
      <c r="E15" s="368">
        <f>0.1*SUM(E8:E13)</f>
        <v>0</v>
      </c>
      <c r="F15" s="404">
        <f>SUM(B15:E15)</f>
        <v>0</v>
      </c>
    </row>
    <row r="16" spans="1:6" s="267" customFormat="1" ht="13.5" thickBot="1" x14ac:dyDescent="0.25">
      <c r="A16" s="289"/>
      <c r="B16" s="913" t="s">
        <v>238</v>
      </c>
      <c r="C16" s="914"/>
      <c r="D16" s="914"/>
      <c r="E16" s="915"/>
      <c r="F16" s="405">
        <f>F14+F15</f>
        <v>0</v>
      </c>
    </row>
    <row r="17" spans="1:6" s="267" customFormat="1" ht="13.5" thickBot="1" x14ac:dyDescent="0.25">
      <c r="A17" s="910" t="s">
        <v>282</v>
      </c>
      <c r="B17" s="911"/>
      <c r="C17" s="911"/>
      <c r="D17" s="911"/>
      <c r="E17" s="911"/>
      <c r="F17" s="912"/>
    </row>
    <row r="18" spans="1:6" s="267" customFormat="1" ht="12.75" x14ac:dyDescent="0.2">
      <c r="A18" s="281" t="s">
        <v>283</v>
      </c>
      <c r="B18" s="369"/>
      <c r="C18" s="370"/>
      <c r="D18" s="370"/>
      <c r="E18" s="371"/>
      <c r="F18" s="402">
        <f t="shared" ref="F18:F26" si="1">SUM(B18:E18)</f>
        <v>0</v>
      </c>
    </row>
    <row r="19" spans="1:6" s="267" customFormat="1" ht="12.75" x14ac:dyDescent="0.2">
      <c r="A19" s="52" t="s">
        <v>284</v>
      </c>
      <c r="B19" s="284"/>
      <c r="C19" s="285"/>
      <c r="D19" s="285"/>
      <c r="E19" s="367"/>
      <c r="F19" s="403">
        <f t="shared" si="1"/>
        <v>0</v>
      </c>
    </row>
    <row r="20" spans="1:6" s="267" customFormat="1" ht="12.75" x14ac:dyDescent="0.2">
      <c r="A20" s="52" t="s">
        <v>267</v>
      </c>
      <c r="B20" s="284"/>
      <c r="C20" s="285"/>
      <c r="D20" s="285"/>
      <c r="E20" s="367"/>
      <c r="F20" s="403">
        <f t="shared" si="1"/>
        <v>0</v>
      </c>
    </row>
    <row r="21" spans="1:6" s="267" customFormat="1" ht="12.75" x14ac:dyDescent="0.2">
      <c r="A21" s="52" t="s">
        <v>268</v>
      </c>
      <c r="B21" s="284"/>
      <c r="C21" s="285"/>
      <c r="D21" s="285"/>
      <c r="E21" s="367"/>
      <c r="F21" s="403">
        <f t="shared" si="1"/>
        <v>0</v>
      </c>
    </row>
    <row r="22" spans="1:6" s="267" customFormat="1" ht="12.75" x14ac:dyDescent="0.2">
      <c r="A22" s="52" t="s">
        <v>269</v>
      </c>
      <c r="B22" s="284"/>
      <c r="C22" s="285"/>
      <c r="D22" s="285"/>
      <c r="E22" s="367"/>
      <c r="F22" s="403">
        <f t="shared" si="1"/>
        <v>0</v>
      </c>
    </row>
    <row r="23" spans="1:6" s="267" customFormat="1" ht="12.75" x14ac:dyDescent="0.2">
      <c r="A23" s="52" t="s">
        <v>285</v>
      </c>
      <c r="B23" s="284"/>
      <c r="C23" s="285"/>
      <c r="D23" s="285"/>
      <c r="E23" s="367"/>
      <c r="F23" s="403">
        <f t="shared" si="1"/>
        <v>0</v>
      </c>
    </row>
    <row r="24" spans="1:6" s="267" customFormat="1" ht="12.75" x14ac:dyDescent="0.2">
      <c r="A24" s="52" t="s">
        <v>281</v>
      </c>
      <c r="B24" s="284"/>
      <c r="C24" s="285"/>
      <c r="D24" s="285"/>
      <c r="E24" s="367"/>
      <c r="F24" s="403">
        <f t="shared" si="1"/>
        <v>0</v>
      </c>
    </row>
    <row r="25" spans="1:6" s="267" customFormat="1" ht="12.75" x14ac:dyDescent="0.2">
      <c r="A25" s="286" t="s">
        <v>286</v>
      </c>
      <c r="B25" s="284"/>
      <c r="C25" s="285"/>
      <c r="D25" s="285"/>
      <c r="E25" s="367"/>
      <c r="F25" s="403">
        <f>SUM(F18:F24)</f>
        <v>0</v>
      </c>
    </row>
    <row r="26" spans="1:6" s="267" customFormat="1" ht="13.5" thickBot="1" x14ac:dyDescent="0.25">
      <c r="A26" s="52" t="s">
        <v>402</v>
      </c>
      <c r="B26" s="287">
        <f>0.1*SUM(B18:B24)</f>
        <v>0</v>
      </c>
      <c r="C26" s="288">
        <f>0.1*SUM(C18:C24)</f>
        <v>0</v>
      </c>
      <c r="D26" s="288">
        <f>0.1*SUM(D18:D24)</f>
        <v>0</v>
      </c>
      <c r="E26" s="368">
        <f>0.1*SUM(E18:E24)</f>
        <v>0</v>
      </c>
      <c r="F26" s="404">
        <f t="shared" si="1"/>
        <v>0</v>
      </c>
    </row>
    <row r="27" spans="1:6" s="267" customFormat="1" ht="13.5" thickBot="1" x14ac:dyDescent="0.25">
      <c r="A27" s="290"/>
      <c r="B27" s="913" t="s">
        <v>287</v>
      </c>
      <c r="C27" s="914"/>
      <c r="D27" s="914"/>
      <c r="E27" s="916"/>
      <c r="F27" s="406">
        <f>SUM(F25:F26)</f>
        <v>0</v>
      </c>
    </row>
    <row r="28" spans="1:6" s="267" customFormat="1" ht="13.5" thickBot="1" x14ac:dyDescent="0.25">
      <c r="A28" s="910" t="s">
        <v>262</v>
      </c>
      <c r="B28" s="911"/>
      <c r="C28" s="911"/>
      <c r="D28" s="911"/>
      <c r="E28" s="911"/>
      <c r="F28" s="912"/>
    </row>
    <row r="29" spans="1:6" s="267" customFormat="1" ht="12.75" x14ac:dyDescent="0.2">
      <c r="A29" s="281" t="s">
        <v>288</v>
      </c>
      <c r="B29" s="369"/>
      <c r="C29" s="370"/>
      <c r="D29" s="370"/>
      <c r="E29" s="370"/>
      <c r="F29" s="402">
        <f>SUM(B29:E29)</f>
        <v>0</v>
      </c>
    </row>
    <row r="30" spans="1:6" s="267" customFormat="1" ht="12.75" x14ac:dyDescent="0.2">
      <c r="A30" s="52" t="s">
        <v>263</v>
      </c>
      <c r="B30" s="284"/>
      <c r="C30" s="285"/>
      <c r="D30" s="285"/>
      <c r="E30" s="285"/>
      <c r="F30" s="403">
        <f>SUM(B30:E30)</f>
        <v>0</v>
      </c>
    </row>
    <row r="31" spans="1:6" s="251" customFormat="1" ht="12.75" x14ac:dyDescent="0.2">
      <c r="A31" s="52" t="s">
        <v>281</v>
      </c>
      <c r="B31" s="284"/>
      <c r="C31" s="285"/>
      <c r="D31" s="285"/>
      <c r="E31" s="285"/>
      <c r="F31" s="403">
        <f>SUM(B31:E31)</f>
        <v>0</v>
      </c>
    </row>
    <row r="32" spans="1:6" s="251" customFormat="1" ht="12.75" x14ac:dyDescent="0.2">
      <c r="A32" s="286" t="s">
        <v>289</v>
      </c>
      <c r="B32" s="284"/>
      <c r="C32" s="285"/>
      <c r="D32" s="285"/>
      <c r="E32" s="285"/>
      <c r="F32" s="403">
        <f>SUM(F29:F31)</f>
        <v>0</v>
      </c>
    </row>
    <row r="33" spans="1:6" s="251" customFormat="1" ht="13.5" thickBot="1" x14ac:dyDescent="0.25">
      <c r="A33" s="52" t="s">
        <v>402</v>
      </c>
      <c r="B33" s="287">
        <f>0.1*SUM(B29:B31)</f>
        <v>0</v>
      </c>
      <c r="C33" s="288">
        <f>0.1*SUM(C29:C31)</f>
        <v>0</v>
      </c>
      <c r="D33" s="288">
        <f>0.1*SUM(D29:D31)</f>
        <v>0</v>
      </c>
      <c r="E33" s="368">
        <f>0.1*SUM(E29:E31)</f>
        <v>0</v>
      </c>
      <c r="F33" s="404">
        <f>SUM(B33:E33)</f>
        <v>0</v>
      </c>
    </row>
    <row r="34" spans="1:6" s="267" customFormat="1" ht="13.5" thickBot="1" x14ac:dyDescent="0.25">
      <c r="A34" s="290"/>
      <c r="B34" s="913" t="s">
        <v>290</v>
      </c>
      <c r="C34" s="914"/>
      <c r="D34" s="914"/>
      <c r="E34" s="916"/>
      <c r="F34" s="406">
        <f>SUM(F32:F33)</f>
        <v>0</v>
      </c>
    </row>
    <row r="35" spans="1:6" s="267" customFormat="1" ht="13.5" thickBot="1" x14ac:dyDescent="0.25">
      <c r="A35" s="910" t="s">
        <v>291</v>
      </c>
      <c r="B35" s="911"/>
      <c r="C35" s="911"/>
      <c r="D35" s="911"/>
      <c r="E35" s="911"/>
      <c r="F35" s="912"/>
    </row>
    <row r="36" spans="1:6" x14ac:dyDescent="0.25">
      <c r="A36" s="281" t="s">
        <v>292</v>
      </c>
      <c r="B36" s="369"/>
      <c r="C36" s="370"/>
      <c r="D36" s="370"/>
      <c r="E36" s="370"/>
      <c r="F36" s="402">
        <f>SUM(B36:E36)</f>
        <v>0</v>
      </c>
    </row>
    <row r="37" spans="1:6" x14ac:dyDescent="0.25">
      <c r="A37" s="52" t="s">
        <v>264</v>
      </c>
      <c r="B37" s="284"/>
      <c r="C37" s="285"/>
      <c r="D37" s="285"/>
      <c r="E37" s="285"/>
      <c r="F37" s="403">
        <f>SUM(B37:E37)</f>
        <v>0</v>
      </c>
    </row>
    <row r="38" spans="1:6" x14ac:dyDescent="0.25">
      <c r="A38" s="52" t="s">
        <v>265</v>
      </c>
      <c r="B38" s="284"/>
      <c r="C38" s="285"/>
      <c r="D38" s="285"/>
      <c r="E38" s="285"/>
      <c r="F38" s="403">
        <f>SUM(B38:E38)</f>
        <v>0</v>
      </c>
    </row>
    <row r="39" spans="1:6" x14ac:dyDescent="0.25">
      <c r="A39" s="52" t="s">
        <v>266</v>
      </c>
      <c r="B39" s="284"/>
      <c r="C39" s="285"/>
      <c r="D39" s="285"/>
      <c r="E39" s="285"/>
      <c r="F39" s="403">
        <f>SUM(B39:E39)</f>
        <v>0</v>
      </c>
    </row>
    <row r="40" spans="1:6" x14ac:dyDescent="0.25">
      <c r="A40" s="52" t="s">
        <v>281</v>
      </c>
      <c r="B40" s="284"/>
      <c r="C40" s="285"/>
      <c r="D40" s="285"/>
      <c r="E40" s="285"/>
      <c r="F40" s="403">
        <f>SUM(B40:E40)</f>
        <v>0</v>
      </c>
    </row>
    <row r="41" spans="1:6" x14ac:dyDescent="0.25">
      <c r="A41" s="286" t="s">
        <v>293</v>
      </c>
      <c r="B41" s="284"/>
      <c r="C41" s="285"/>
      <c r="D41" s="285"/>
      <c r="E41" s="285"/>
      <c r="F41" s="403">
        <f>SUM(F36:F40)</f>
        <v>0</v>
      </c>
    </row>
    <row r="42" spans="1:6" ht="15.75" thickBot="1" x14ac:dyDescent="0.3">
      <c r="A42" s="52" t="s">
        <v>402</v>
      </c>
      <c r="B42" s="287">
        <f>0.1*SUM(B36:B40)</f>
        <v>0</v>
      </c>
      <c r="C42" s="288">
        <f>0.1*SUM(C36:C40)</f>
        <v>0</v>
      </c>
      <c r="D42" s="288">
        <f>0.1*SUM(D36:D40)</f>
        <v>0</v>
      </c>
      <c r="E42" s="368">
        <f>0.1*SUM(E36:E40)</f>
        <v>0</v>
      </c>
      <c r="F42" s="404">
        <f>SUM(B42:E42)</f>
        <v>0</v>
      </c>
    </row>
    <row r="43" spans="1:6" ht="15.75" thickBot="1" x14ac:dyDescent="0.3">
      <c r="A43" s="290"/>
      <c r="B43" s="913" t="s">
        <v>294</v>
      </c>
      <c r="C43" s="914"/>
      <c r="D43" s="914"/>
      <c r="E43" s="915"/>
      <c r="F43" s="407">
        <f>SUM(F41:F42)</f>
        <v>0</v>
      </c>
    </row>
    <row r="44" spans="1:6" ht="15.75" thickBot="1" x14ac:dyDescent="0.3">
      <c r="A44" s="910" t="s">
        <v>21</v>
      </c>
      <c r="B44" s="911"/>
      <c r="C44" s="911"/>
      <c r="D44" s="911"/>
      <c r="E44" s="911"/>
      <c r="F44" s="912"/>
    </row>
    <row r="45" spans="1:6" x14ac:dyDescent="0.25">
      <c r="A45" s="281" t="s">
        <v>270</v>
      </c>
      <c r="B45" s="369"/>
      <c r="C45" s="370"/>
      <c r="D45" s="370"/>
      <c r="E45" s="370"/>
      <c r="F45" s="403">
        <f>SUM(B45:E45)</f>
        <v>0</v>
      </c>
    </row>
    <row r="46" spans="1:6" x14ac:dyDescent="0.25">
      <c r="A46" s="52" t="s">
        <v>72</v>
      </c>
      <c r="B46" s="284"/>
      <c r="C46" s="285"/>
      <c r="D46" s="285"/>
      <c r="E46" s="285"/>
      <c r="F46" s="403">
        <f>SUM(B46:E46)</f>
        <v>0</v>
      </c>
    </row>
    <row r="47" spans="1:6" x14ac:dyDescent="0.25">
      <c r="A47" s="52" t="s">
        <v>295</v>
      </c>
      <c r="B47" s="284"/>
      <c r="C47" s="285"/>
      <c r="D47" s="285"/>
      <c r="E47" s="285"/>
      <c r="F47" s="403">
        <f>SUM(B47:E47)</f>
        <v>0</v>
      </c>
    </row>
    <row r="48" spans="1:6" x14ac:dyDescent="0.25">
      <c r="A48" s="52" t="s">
        <v>271</v>
      </c>
      <c r="B48" s="284"/>
      <c r="C48" s="285"/>
      <c r="D48" s="285"/>
      <c r="E48" s="285"/>
      <c r="F48" s="403">
        <f>SUM(B48:E48)</f>
        <v>0</v>
      </c>
    </row>
    <row r="49" spans="1:6" x14ac:dyDescent="0.25">
      <c r="A49" s="52" t="s">
        <v>281</v>
      </c>
      <c r="B49" s="284"/>
      <c r="C49" s="285"/>
      <c r="D49" s="285"/>
      <c r="E49" s="285"/>
      <c r="F49" s="403">
        <f>SUM(B49:E49)</f>
        <v>0</v>
      </c>
    </row>
    <row r="50" spans="1:6" x14ac:dyDescent="0.25">
      <c r="A50" s="286" t="s">
        <v>296</v>
      </c>
      <c r="B50" s="284"/>
      <c r="C50" s="285"/>
      <c r="D50" s="285"/>
      <c r="E50" s="285"/>
      <c r="F50" s="403">
        <f>SUM(F45:F49)</f>
        <v>0</v>
      </c>
    </row>
    <row r="51" spans="1:6" ht="15.75" thickBot="1" x14ac:dyDescent="0.3">
      <c r="A51" s="52" t="s">
        <v>402</v>
      </c>
      <c r="B51" s="287">
        <f>0.1*SUM(B45:B49)</f>
        <v>0</v>
      </c>
      <c r="C51" s="288">
        <f>0.1*SUM(C45:C49)</f>
        <v>0</v>
      </c>
      <c r="D51" s="288">
        <f>0.1*SUM(D45:D49)</f>
        <v>0</v>
      </c>
      <c r="E51" s="368">
        <f>0.1*SUM(E45:E49)</f>
        <v>0</v>
      </c>
      <c r="F51" s="404">
        <f>SUM(B51:E51)</f>
        <v>0</v>
      </c>
    </row>
    <row r="52" spans="1:6" ht="15.75" thickBot="1" x14ac:dyDescent="0.3">
      <c r="A52" s="290"/>
      <c r="B52" s="913" t="s">
        <v>297</v>
      </c>
      <c r="C52" s="914"/>
      <c r="D52" s="914"/>
      <c r="E52" s="916"/>
      <c r="F52" s="406">
        <f>SUM(F50:F51)</f>
        <v>0</v>
      </c>
    </row>
    <row r="53" spans="1:6" ht="15.75" thickBot="1" x14ac:dyDescent="0.3">
      <c r="A53" s="52"/>
      <c r="B53" s="50"/>
      <c r="C53" s="50"/>
      <c r="D53" s="50"/>
      <c r="E53" s="51"/>
      <c r="F53" s="53"/>
    </row>
    <row r="54" spans="1:6" ht="15.75" thickBot="1" x14ac:dyDescent="0.3">
      <c r="A54" s="291"/>
      <c r="B54" s="917" t="s">
        <v>298</v>
      </c>
      <c r="C54" s="918"/>
      <c r="D54" s="918"/>
      <c r="E54" s="919"/>
      <c r="F54" s="408">
        <f>SUM(F16,F27,F34,F43,F52)</f>
        <v>0</v>
      </c>
    </row>
    <row r="61" spans="1:6" ht="15" customHeight="1" x14ac:dyDescent="0.25"/>
    <row r="81" ht="15" customHeight="1" x14ac:dyDescent="0.25"/>
    <row r="99" ht="15" customHeight="1" x14ac:dyDescent="0.25"/>
    <row r="107" ht="15.75" customHeight="1" x14ac:dyDescent="0.25"/>
  </sheetData>
  <mergeCells count="12">
    <mergeCell ref="B52:E52"/>
    <mergeCell ref="B54:E54"/>
    <mergeCell ref="A28:F28"/>
    <mergeCell ref="B34:E34"/>
    <mergeCell ref="A35:F35"/>
    <mergeCell ref="B43:E43"/>
    <mergeCell ref="A44:F44"/>
    <mergeCell ref="A2:B2"/>
    <mergeCell ref="A5:F5"/>
    <mergeCell ref="B16:E16"/>
    <mergeCell ref="A17:F17"/>
    <mergeCell ref="B27:E27"/>
  </mergeCells>
  <conditionalFormatting sqref="C14">
    <cfRule type="cellIs" dxfId="4" priority="5" stopIfTrue="1" operator="equal">
      <formula>0</formula>
    </cfRule>
  </conditionalFormatting>
  <conditionalFormatting sqref="C25">
    <cfRule type="cellIs" dxfId="3" priority="4" stopIfTrue="1" operator="equal">
      <formula>0</formula>
    </cfRule>
  </conditionalFormatting>
  <conditionalFormatting sqref="C32">
    <cfRule type="cellIs" dxfId="2" priority="3" stopIfTrue="1" operator="equal">
      <formula>0</formula>
    </cfRule>
  </conditionalFormatting>
  <conditionalFormatting sqref="C41">
    <cfRule type="cellIs" dxfId="1" priority="2" stopIfTrue="1" operator="equal">
      <formula>0</formula>
    </cfRule>
  </conditionalFormatting>
  <conditionalFormatting sqref="C50">
    <cfRule type="cellIs" dxfId="0" priority="1" stopIfTrue="1" operator="equal">
      <formula>0</formula>
    </cfRule>
  </conditionalFormatting>
  <hyperlinks>
    <hyperlink ref="A2" location="'Budget Summary'!A1" display="'Budget Summary'!A1" xr:uid="{00000000-0004-0000-0500-000000000000}"/>
  </hyperlinks>
  <pageMargins left="0.25" right="0.25" top="0.75" bottom="0.75" header="0.3" footer="0.3"/>
  <pageSetup scale="91" orientation="portrait" r:id="rId1"/>
  <headerFooter alignWithMargins="0">
    <oddHeader>&amp;CBelow the Line Estimate Summary&amp;R&amp;8&amp;P</oddHeader>
    <oddFooter xml:space="preserve">&amp;L&amp;F&amp;C&amp;A&amp;RBudget Version 2019
</oddFooter>
  </headerFooter>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0</xdr:col>
                    <xdr:colOff>228600</xdr:colOff>
                    <xdr:row>2</xdr:row>
                    <xdr:rowOff>161925</xdr:rowOff>
                  </from>
                  <to>
                    <xdr:col>0</xdr:col>
                    <xdr:colOff>1438275</xdr:colOff>
                    <xdr:row>4</xdr:row>
                    <xdr:rowOff>9525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0</xdr:col>
                    <xdr:colOff>1133475</xdr:colOff>
                    <xdr:row>2</xdr:row>
                    <xdr:rowOff>142875</xdr:rowOff>
                  </from>
                  <to>
                    <xdr:col>0</xdr:col>
                    <xdr:colOff>2124075</xdr:colOff>
                    <xdr:row>4</xdr:row>
                    <xdr:rowOff>28575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xdr:col>
                    <xdr:colOff>0</xdr:colOff>
                    <xdr:row>2</xdr:row>
                    <xdr:rowOff>180975</xdr:rowOff>
                  </from>
                  <to>
                    <xdr:col>2</xdr:col>
                    <xdr:colOff>609600</xdr:colOff>
                    <xdr:row>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filterMode="1">
    <tabColor rgb="FF92D050"/>
  </sheetPr>
  <dimension ref="A1:AJ125"/>
  <sheetViews>
    <sheetView view="pageLayout" zoomScale="115" zoomScaleNormal="70" zoomScaleSheetLayoutView="70" zoomScalePageLayoutView="115" workbookViewId="0">
      <selection activeCell="A2" sqref="A1:AJ125"/>
    </sheetView>
  </sheetViews>
  <sheetFormatPr defaultColWidth="6.28515625" defaultRowHeight="15.75" x14ac:dyDescent="0.25"/>
  <cols>
    <col min="1" max="1" width="17.7109375" style="418" customWidth="1"/>
    <col min="2" max="2" width="35.7109375" style="418" customWidth="1"/>
    <col min="3" max="3" width="5.28515625" style="417" customWidth="1"/>
    <col min="4" max="4" width="5.42578125" style="418" customWidth="1"/>
    <col min="5" max="5" width="16.85546875" style="418" customWidth="1"/>
    <col min="6" max="6" width="17.7109375" style="418" bestFit="1" customWidth="1"/>
    <col min="7" max="7" width="15.42578125" style="418" bestFit="1" customWidth="1"/>
    <col min="8" max="8" width="9.85546875" style="418" bestFit="1" customWidth="1"/>
    <col min="9" max="14" width="3.28515625" style="418" customWidth="1"/>
    <col min="15" max="44" width="4.28515625" style="418" customWidth="1"/>
    <col min="45" max="16384" width="6.28515625" style="418"/>
  </cols>
  <sheetData>
    <row r="1" spans="1:32" ht="20.100000000000001" customHeight="1" x14ac:dyDescent="0.35">
      <c r="A1" s="931" t="str">
        <f>'Estimate Template'!A4:H4</f>
        <v>OSU-######</v>
      </c>
      <c r="B1" s="931"/>
      <c r="C1" s="931"/>
      <c r="D1" s="931"/>
    </row>
    <row r="2" spans="1:32" ht="21.75" thickBot="1" x14ac:dyDescent="0.4">
      <c r="A2" s="931" t="str">
        <f>'Estimate Template'!A5:H5</f>
        <v>Project Name</v>
      </c>
      <c r="B2" s="931"/>
      <c r="C2" s="931"/>
      <c r="D2" s="931"/>
    </row>
    <row r="3" spans="1:32" ht="16.5" thickBot="1" x14ac:dyDescent="0.3">
      <c r="A3" s="444" t="str">
        <f>IF('Estimate Template'!H67&gt;'Estimate Template'!H16,'Estimate Template'!D64,'Estimate Template'!C12)</f>
        <v>Purchase Order</v>
      </c>
      <c r="G3" s="445">
        <f ca="1">IF('Estimate Template'!H16&gt;0,YEAR(TODAY()),YEAR(TODAY())+'Estimate Template'!C89)</f>
        <v>2024</v>
      </c>
    </row>
    <row r="4" spans="1:32" ht="16.5" thickBot="1" x14ac:dyDescent="0.3">
      <c r="A4" s="434"/>
      <c r="B4" s="435"/>
      <c r="C4" s="435"/>
      <c r="D4" s="435"/>
      <c r="E4" s="435"/>
      <c r="F4" s="522"/>
      <c r="G4" s="437"/>
    </row>
    <row r="5" spans="1:32" ht="16.5" hidden="1" thickBot="1" x14ac:dyDescent="0.3">
      <c r="A5" s="432" t="s">
        <v>445</v>
      </c>
      <c r="B5" s="436" t="s">
        <v>545</v>
      </c>
      <c r="C5" s="439"/>
      <c r="D5" s="440"/>
      <c r="E5" s="440"/>
      <c r="F5" s="440"/>
      <c r="G5" s="446">
        <f>MAX('Estimate Template'!H33,'Estimate Template'!H105)</f>
        <v>0</v>
      </c>
    </row>
    <row r="6" spans="1:32" hidden="1" x14ac:dyDescent="0.25">
      <c r="A6" s="463" t="s">
        <v>407</v>
      </c>
      <c r="B6" s="464" t="s">
        <v>598</v>
      </c>
      <c r="C6" s="481"/>
      <c r="D6" s="482">
        <f>'Estimate Template'!F106</f>
        <v>0</v>
      </c>
      <c r="E6" s="454"/>
      <c r="F6" s="483">
        <f>MAX('Estimate Template'!H33,'Estimate Template'!H106)</f>
        <v>0</v>
      </c>
      <c r="G6" s="442">
        <f>MAX(E6,F6)</f>
        <v>0</v>
      </c>
    </row>
    <row r="7" spans="1:32" hidden="1" x14ac:dyDescent="0.25">
      <c r="A7" s="484"/>
      <c r="B7" s="485" t="str">
        <f>'Estimate Template'!C107</f>
        <v>Basic A/E Services</v>
      </c>
      <c r="C7" s="486"/>
      <c r="D7" s="487">
        <f>'Estimate Template'!F107</f>
        <v>0</v>
      </c>
      <c r="E7" s="775">
        <f>'Estimate Template'!H107</f>
        <v>0</v>
      </c>
      <c r="G7" s="442">
        <f>MAX(E7,F7)</f>
        <v>0</v>
      </c>
      <c r="AE7" s="420"/>
    </row>
    <row r="8" spans="1:32" hidden="1" x14ac:dyDescent="0.25">
      <c r="A8" s="484"/>
      <c r="B8" s="485" t="s">
        <v>397</v>
      </c>
      <c r="C8" s="486"/>
      <c r="D8" s="487">
        <f>'Estimate Template'!F108</f>
        <v>0.01</v>
      </c>
      <c r="E8" s="775">
        <f>'Estimate Template'!H108</f>
        <v>0</v>
      </c>
      <c r="G8" s="442">
        <f t="shared" ref="G8:G39" si="0">MAX(E8,F8)</f>
        <v>0</v>
      </c>
      <c r="AE8" s="420"/>
    </row>
    <row r="9" spans="1:32" hidden="1" x14ac:dyDescent="0.25">
      <c r="A9" s="484"/>
      <c r="B9" s="485" t="s">
        <v>117</v>
      </c>
      <c r="C9" s="486"/>
      <c r="D9" s="487">
        <f>'Estimate Template'!F109</f>
        <v>0.01</v>
      </c>
      <c r="E9" s="775">
        <f>'Estimate Template'!H109</f>
        <v>0</v>
      </c>
      <c r="G9" s="442">
        <f t="shared" si="0"/>
        <v>0</v>
      </c>
    </row>
    <row r="10" spans="1:32" hidden="1" x14ac:dyDescent="0.25">
      <c r="A10" s="484"/>
      <c r="B10" s="485" t="s">
        <v>439</v>
      </c>
      <c r="C10" s="486"/>
      <c r="D10" s="487" t="str">
        <f>'Estimate Template'!F110</f>
        <v xml:space="preserve"> - -</v>
      </c>
      <c r="E10" s="775">
        <f>'Estimate Template'!H110</f>
        <v>0</v>
      </c>
      <c r="G10" s="442">
        <f t="shared" si="0"/>
        <v>0</v>
      </c>
    </row>
    <row r="11" spans="1:32" hidden="1" x14ac:dyDescent="0.25">
      <c r="A11" s="429" t="s">
        <v>408</v>
      </c>
      <c r="B11" s="431" t="str">
        <f>IF('Estimate Template'!D64="Design-Build","Precon DB","Precon CM@R")</f>
        <v>Precon CM@R</v>
      </c>
      <c r="C11" s="438"/>
      <c r="D11" s="487">
        <f>'Estimate Template'!F111</f>
        <v>0</v>
      </c>
      <c r="E11" s="470"/>
      <c r="F11" s="488">
        <f>'Estimate Template'!H111</f>
        <v>0</v>
      </c>
      <c r="G11" s="442">
        <f t="shared" si="0"/>
        <v>0</v>
      </c>
      <c r="AE11" s="420"/>
    </row>
    <row r="12" spans="1:32" hidden="1" x14ac:dyDescent="0.25">
      <c r="A12" s="484"/>
      <c r="B12" s="485" t="s">
        <v>440</v>
      </c>
      <c r="C12" s="486"/>
      <c r="D12" s="487">
        <f>'Estimate Template'!F112</f>
        <v>0</v>
      </c>
      <c r="E12" s="776">
        <f>'Estimate Template'!H112</f>
        <v>0</v>
      </c>
      <c r="G12" s="442">
        <f>MAX(E12,F12)</f>
        <v>0</v>
      </c>
    </row>
    <row r="13" spans="1:32" hidden="1" x14ac:dyDescent="0.25">
      <c r="A13" s="484"/>
      <c r="B13" s="485" t="s">
        <v>446</v>
      </c>
      <c r="C13" s="486"/>
      <c r="D13" s="487">
        <f>'Estimate Template'!F113</f>
        <v>0</v>
      </c>
      <c r="E13" s="776">
        <f>'Estimate Template'!H113</f>
        <v>0</v>
      </c>
      <c r="G13" s="442">
        <f t="shared" si="0"/>
        <v>0</v>
      </c>
      <c r="AD13" s="420"/>
    </row>
    <row r="14" spans="1:32" hidden="1" x14ac:dyDescent="0.25">
      <c r="A14" s="484"/>
      <c r="B14" s="485" t="s">
        <v>441</v>
      </c>
      <c r="C14" s="486"/>
      <c r="D14" s="487">
        <f>'Estimate Template'!F114</f>
        <v>0</v>
      </c>
      <c r="E14" s="776">
        <f>'Estimate Template'!H114</f>
        <v>0</v>
      </c>
      <c r="G14" s="442">
        <f t="shared" si="0"/>
        <v>0</v>
      </c>
      <c r="AD14" s="420"/>
      <c r="AF14" s="425"/>
    </row>
    <row r="15" spans="1:32" hidden="1" x14ac:dyDescent="0.25">
      <c r="A15" s="484"/>
      <c r="B15" s="485" t="s">
        <v>442</v>
      </c>
      <c r="C15" s="486"/>
      <c r="D15" s="487">
        <f>'Estimate Template'!F115</f>
        <v>0</v>
      </c>
      <c r="E15" s="776">
        <f>'Estimate Template'!H115</f>
        <v>0</v>
      </c>
      <c r="G15" s="442">
        <f t="shared" si="0"/>
        <v>0</v>
      </c>
      <c r="AD15" s="420"/>
    </row>
    <row r="16" spans="1:32" hidden="1" x14ac:dyDescent="0.25">
      <c r="A16" s="484"/>
      <c r="B16" s="485" t="s">
        <v>443</v>
      </c>
      <c r="C16" s="486"/>
      <c r="D16" s="487" t="str">
        <f>'Estimate Template'!F116</f>
        <v xml:space="preserve"> - -</v>
      </c>
      <c r="E16" s="776">
        <f>'Estimate Template'!H116</f>
        <v>0</v>
      </c>
      <c r="G16" s="442">
        <f t="shared" si="0"/>
        <v>0</v>
      </c>
    </row>
    <row r="17" spans="1:30" hidden="1" x14ac:dyDescent="0.25">
      <c r="A17" s="489" t="s">
        <v>409</v>
      </c>
      <c r="B17" s="466" t="s">
        <v>79</v>
      </c>
      <c r="C17" s="486"/>
      <c r="D17" s="487"/>
      <c r="E17" s="490"/>
      <c r="F17" s="488">
        <f>'Estimate Template'!H117</f>
        <v>0</v>
      </c>
      <c r="G17" s="442">
        <f t="shared" si="0"/>
        <v>0</v>
      </c>
    </row>
    <row r="18" spans="1:30" hidden="1" x14ac:dyDescent="0.25">
      <c r="A18" s="489" t="s">
        <v>410</v>
      </c>
      <c r="B18" s="466" t="s">
        <v>415</v>
      </c>
      <c r="C18" s="486"/>
      <c r="D18" s="487"/>
      <c r="E18" s="470"/>
      <c r="F18" s="488">
        <f>'Estimate Template'!H118</f>
        <v>0</v>
      </c>
      <c r="G18" s="442">
        <f t="shared" si="0"/>
        <v>0</v>
      </c>
      <c r="AD18" s="419"/>
    </row>
    <row r="19" spans="1:30" hidden="1" x14ac:dyDescent="0.25">
      <c r="A19" s="489" t="s">
        <v>411</v>
      </c>
      <c r="B19" s="466" t="s">
        <v>416</v>
      </c>
      <c r="C19" s="486"/>
      <c r="D19" s="487"/>
      <c r="E19" s="470"/>
      <c r="F19" s="488">
        <f>'Estimate Template'!H119</f>
        <v>0</v>
      </c>
      <c r="G19" s="442">
        <f t="shared" si="0"/>
        <v>0</v>
      </c>
    </row>
    <row r="20" spans="1:30" hidden="1" x14ac:dyDescent="0.25">
      <c r="A20" s="489" t="s">
        <v>412</v>
      </c>
      <c r="B20" s="466" t="s">
        <v>417</v>
      </c>
      <c r="C20" s="486"/>
      <c r="D20" s="487"/>
      <c r="E20" s="470"/>
      <c r="F20" s="488">
        <f>'Estimate Template'!H120</f>
        <v>0</v>
      </c>
      <c r="G20" s="442">
        <f t="shared" si="0"/>
        <v>0</v>
      </c>
    </row>
    <row r="21" spans="1:30" ht="16.5" hidden="1" thickBot="1" x14ac:dyDescent="0.3">
      <c r="A21" s="429" t="s">
        <v>413</v>
      </c>
      <c r="B21" s="431" t="s">
        <v>418</v>
      </c>
      <c r="C21" s="438"/>
      <c r="E21" s="423"/>
      <c r="F21" s="488">
        <f>'Estimate Template'!H121</f>
        <v>0</v>
      </c>
      <c r="G21" s="442">
        <f t="shared" si="0"/>
        <v>0</v>
      </c>
    </row>
    <row r="22" spans="1:30" ht="16.5" hidden="1" thickBot="1" x14ac:dyDescent="0.3">
      <c r="A22" s="432" t="s">
        <v>447</v>
      </c>
      <c r="B22" s="436" t="s">
        <v>363</v>
      </c>
      <c r="C22" s="439"/>
      <c r="D22" s="440"/>
      <c r="E22" s="440"/>
      <c r="F22" s="440"/>
      <c r="G22" s="446">
        <f>MAX('Estimate Template'!H16,'Estimate Template'!H67)</f>
        <v>0</v>
      </c>
    </row>
    <row r="23" spans="1:30" hidden="1" x14ac:dyDescent="0.25">
      <c r="A23" s="467" t="s">
        <v>419</v>
      </c>
      <c r="B23" s="468" t="s">
        <v>485</v>
      </c>
      <c r="C23" s="469"/>
      <c r="D23" s="470"/>
      <c r="E23" s="471"/>
      <c r="F23" s="488">
        <f>SUM('Estimate Template'!H92:H94,'Estimate Template'!H96:H97)</f>
        <v>0</v>
      </c>
      <c r="G23" s="442">
        <f t="shared" si="0"/>
        <v>0</v>
      </c>
    </row>
    <row r="24" spans="1:30" hidden="1" x14ac:dyDescent="0.25">
      <c r="A24" s="467"/>
      <c r="B24" s="468" t="str">
        <f>'Estimate Template'!B17</f>
        <v>Labor and Material</v>
      </c>
      <c r="C24" s="469"/>
      <c r="D24" s="470"/>
      <c r="E24" s="777">
        <f>'Estimate Template'!G17</f>
        <v>0</v>
      </c>
      <c r="F24" s="471"/>
      <c r="G24" s="442">
        <f t="shared" si="0"/>
        <v>0</v>
      </c>
    </row>
    <row r="25" spans="1:30" hidden="1" x14ac:dyDescent="0.25">
      <c r="A25" s="467"/>
      <c r="B25" s="468" t="str">
        <f>'Estimate Template'!B18</f>
        <v>Permit</v>
      </c>
      <c r="C25" s="469"/>
      <c r="D25" s="470"/>
      <c r="E25" s="777">
        <f>'Estimate Template'!G18</f>
        <v>0</v>
      </c>
      <c r="F25" s="471"/>
      <c r="G25" s="442">
        <f t="shared" si="0"/>
        <v>0</v>
      </c>
    </row>
    <row r="26" spans="1:30" hidden="1" x14ac:dyDescent="0.25">
      <c r="A26" s="467"/>
      <c r="B26" s="468" t="str">
        <f>'Estimate Template'!B19</f>
        <v>Asset Tag</v>
      </c>
      <c r="C26" s="469"/>
      <c r="D26" s="470"/>
      <c r="E26" s="777">
        <f>'Estimate Template'!G19</f>
        <v>0</v>
      </c>
      <c r="F26" s="471"/>
      <c r="G26" s="442">
        <f t="shared" si="0"/>
        <v>0</v>
      </c>
    </row>
    <row r="27" spans="1:30" hidden="1" x14ac:dyDescent="0.25">
      <c r="A27" s="467"/>
      <c r="B27" s="468" t="str">
        <f>'Estimate Template'!B20</f>
        <v>Other</v>
      </c>
      <c r="C27" s="469"/>
      <c r="D27" s="470"/>
      <c r="E27" s="777">
        <f>'Estimate Template'!G20</f>
        <v>0</v>
      </c>
      <c r="F27" s="471"/>
      <c r="G27" s="442">
        <f t="shared" si="0"/>
        <v>0</v>
      </c>
    </row>
    <row r="28" spans="1:30" hidden="1" x14ac:dyDescent="0.25">
      <c r="A28" s="467"/>
      <c r="B28" s="468" t="str">
        <f>'Estimate Template'!B21</f>
        <v>Other</v>
      </c>
      <c r="C28" s="469"/>
      <c r="D28" s="470"/>
      <c r="E28" s="777">
        <f>'Estimate Template'!G21</f>
        <v>0</v>
      </c>
      <c r="F28" s="471"/>
      <c r="G28" s="442">
        <f t="shared" si="0"/>
        <v>0</v>
      </c>
    </row>
    <row r="29" spans="1:30" hidden="1" x14ac:dyDescent="0.25">
      <c r="A29" s="467"/>
      <c r="B29" s="468" t="str">
        <f>'Estimate Template'!B22</f>
        <v>Other</v>
      </c>
      <c r="C29" s="469"/>
      <c r="D29" s="470"/>
      <c r="E29" s="777">
        <f>'Estimate Template'!G22</f>
        <v>0</v>
      </c>
      <c r="F29" s="471"/>
      <c r="G29" s="442">
        <f t="shared" si="0"/>
        <v>0</v>
      </c>
    </row>
    <row r="30" spans="1:30" hidden="1" x14ac:dyDescent="0.25">
      <c r="A30" s="467"/>
      <c r="B30" s="468" t="str">
        <f>'Estimate Template'!B23</f>
        <v>Fee</v>
      </c>
      <c r="C30" s="469"/>
      <c r="D30" s="470"/>
      <c r="E30" s="777">
        <f>'Estimate Template'!G23</f>
        <v>0</v>
      </c>
      <c r="F30" s="471"/>
      <c r="G30" s="442">
        <f t="shared" si="0"/>
        <v>0</v>
      </c>
    </row>
    <row r="31" spans="1:30" hidden="1" x14ac:dyDescent="0.25">
      <c r="A31" s="467"/>
      <c r="B31" s="468" t="str">
        <f>'Estimate Template'!B24</f>
        <v>Technology</v>
      </c>
      <c r="C31" s="469"/>
      <c r="D31" s="470"/>
      <c r="E31" s="777">
        <f>'Estimate Template'!G24</f>
        <v>0</v>
      </c>
      <c r="F31" s="471"/>
      <c r="G31" s="442">
        <f t="shared" si="0"/>
        <v>0</v>
      </c>
    </row>
    <row r="32" spans="1:30" ht="16.5" hidden="1" thickBot="1" x14ac:dyDescent="0.3">
      <c r="A32" s="429" t="s">
        <v>420</v>
      </c>
      <c r="B32" s="431" t="s">
        <v>455</v>
      </c>
      <c r="F32" s="423">
        <f>'Estimate Template'!H95</f>
        <v>0</v>
      </c>
      <c r="G32" s="442">
        <f t="shared" si="0"/>
        <v>0</v>
      </c>
    </row>
    <row r="33" spans="1:30" ht="19.5" hidden="1" thickBot="1" x14ac:dyDescent="0.3">
      <c r="A33" s="823"/>
      <c r="B33" s="436" t="s">
        <v>460</v>
      </c>
      <c r="C33" s="824"/>
      <c r="D33" s="440"/>
      <c r="E33" s="440"/>
      <c r="F33" s="523"/>
      <c r="G33" s="446">
        <f>'Estimate Template'!$H$98</f>
        <v>0</v>
      </c>
    </row>
    <row r="34" spans="1:30" ht="16.5" hidden="1" thickBot="1" x14ac:dyDescent="0.3">
      <c r="A34" s="432" t="s">
        <v>449</v>
      </c>
      <c r="B34" s="436" t="s">
        <v>422</v>
      </c>
      <c r="C34" s="439"/>
      <c r="D34" s="440"/>
      <c r="E34" s="440"/>
      <c r="F34" s="523"/>
      <c r="G34" s="441">
        <f>MAX('Estimate Template'!H25,'Estimate Template'!H99)</f>
        <v>0</v>
      </c>
    </row>
    <row r="35" spans="1:30" hidden="1" x14ac:dyDescent="0.25">
      <c r="A35" s="467" t="s">
        <v>423</v>
      </c>
      <c r="B35" s="468" t="s">
        <v>427</v>
      </c>
      <c r="C35" s="469"/>
      <c r="D35" s="470"/>
      <c r="E35" s="470"/>
      <c r="F35" s="488">
        <f>MAX('Estimate Template'!G26,'Estimate Template'!H100)</f>
        <v>0</v>
      </c>
      <c r="G35" s="442">
        <f t="shared" si="0"/>
        <v>0</v>
      </c>
    </row>
    <row r="36" spans="1:30" hidden="1" x14ac:dyDescent="0.25">
      <c r="A36" s="467" t="s">
        <v>424</v>
      </c>
      <c r="B36" s="468" t="s">
        <v>95</v>
      </c>
      <c r="C36" s="469"/>
      <c r="D36" s="470"/>
      <c r="E36" s="470"/>
      <c r="F36" s="471">
        <f>MAX('Estimate Template'!G27,'Estimate Template'!H101)</f>
        <v>0</v>
      </c>
      <c r="G36" s="442">
        <f t="shared" si="0"/>
        <v>0</v>
      </c>
    </row>
    <row r="37" spans="1:30" hidden="1" x14ac:dyDescent="0.25">
      <c r="A37" s="467" t="s">
        <v>425</v>
      </c>
      <c r="B37" s="468" t="s">
        <v>70</v>
      </c>
      <c r="C37" s="469"/>
      <c r="D37" s="470"/>
      <c r="E37" s="470"/>
      <c r="F37" s="471">
        <f>MAX('Estimate Template'!G28,'Estimate Template'!H102)</f>
        <v>0</v>
      </c>
      <c r="G37" s="442">
        <f t="shared" si="0"/>
        <v>0</v>
      </c>
    </row>
    <row r="38" spans="1:30" hidden="1" x14ac:dyDescent="0.25">
      <c r="A38" s="429" t="s">
        <v>426</v>
      </c>
      <c r="B38" s="431" t="s">
        <v>428</v>
      </c>
      <c r="F38" s="471">
        <f>MAX('Estimate Template'!G29,'Estimate Template'!H103)</f>
        <v>0</v>
      </c>
      <c r="G38" s="442">
        <f t="shared" si="0"/>
        <v>0</v>
      </c>
      <c r="J38" s="423"/>
    </row>
    <row r="39" spans="1:30" ht="16.5" hidden="1" thickBot="1" x14ac:dyDescent="0.3">
      <c r="A39" s="429" t="s">
        <v>597</v>
      </c>
      <c r="B39" s="431" t="s">
        <v>72</v>
      </c>
      <c r="F39" s="471">
        <f>MAX('Estimate Template'!G30,'Estimate Template'!H104)</f>
        <v>0</v>
      </c>
      <c r="G39" s="442">
        <f t="shared" si="0"/>
        <v>0</v>
      </c>
      <c r="J39" s="423"/>
    </row>
    <row r="40" spans="1:30" ht="19.5" hidden="1" thickBot="1" x14ac:dyDescent="0.3">
      <c r="A40" s="432" t="s">
        <v>450</v>
      </c>
      <c r="B40" s="436" t="s">
        <v>459</v>
      </c>
      <c r="C40" s="439"/>
      <c r="D40" s="440"/>
      <c r="E40" s="440"/>
      <c r="F40" s="440"/>
      <c r="G40" s="441">
        <f>'Estimate Template'!H122</f>
        <v>0</v>
      </c>
      <c r="AD40" s="424"/>
    </row>
    <row r="41" spans="1:30" ht="16.5" hidden="1" thickBot="1" x14ac:dyDescent="0.3">
      <c r="A41" s="432" t="s">
        <v>451</v>
      </c>
      <c r="B41" s="436" t="s">
        <v>448</v>
      </c>
      <c r="C41" s="439"/>
      <c r="D41" s="440"/>
      <c r="E41" s="440"/>
      <c r="F41" s="440"/>
      <c r="G41" s="441">
        <f>'Estimate Template'!H124</f>
        <v>0</v>
      </c>
      <c r="AD41" s="421"/>
    </row>
    <row r="42" spans="1:30" ht="16.5" hidden="1" thickBot="1" x14ac:dyDescent="0.3">
      <c r="A42" s="432" t="s">
        <v>452</v>
      </c>
      <c r="B42" s="436" t="s">
        <v>453</v>
      </c>
      <c r="C42" s="439"/>
      <c r="D42" s="440"/>
      <c r="E42" s="440"/>
      <c r="F42" s="523"/>
      <c r="G42" s="446">
        <f>MAX(('Estimate Template'!G41+'Estimate Template'!H31),'Estimate Template'!H126)</f>
        <v>0</v>
      </c>
      <c r="AD42" s="421"/>
    </row>
    <row r="43" spans="1:30" hidden="1" x14ac:dyDescent="0.25">
      <c r="A43" s="463" t="s">
        <v>482</v>
      </c>
      <c r="B43" s="464" t="s">
        <v>403</v>
      </c>
      <c r="C43" s="472"/>
      <c r="D43" s="454"/>
      <c r="E43" s="454"/>
      <c r="F43" s="483">
        <f>MAX('Estimate Template'!G41,'Estimate Template'!H127)</f>
        <v>0</v>
      </c>
      <c r="G43" s="442">
        <f t="shared" ref="G43:G45" si="1">MAX(E43,F43)</f>
        <v>0</v>
      </c>
      <c r="AD43" s="421"/>
    </row>
    <row r="44" spans="1:30" hidden="1" x14ac:dyDescent="0.25">
      <c r="A44" s="467" t="s">
        <v>483</v>
      </c>
      <c r="B44" s="468" t="s">
        <v>431</v>
      </c>
      <c r="C44" s="469"/>
      <c r="D44" s="470"/>
      <c r="E44" s="470"/>
      <c r="F44" s="471">
        <f>'Estimate Template'!H128</f>
        <v>0</v>
      </c>
      <c r="G44" s="442">
        <f t="shared" si="1"/>
        <v>0</v>
      </c>
      <c r="AD44" s="421"/>
    </row>
    <row r="45" spans="1:30" hidden="1" x14ac:dyDescent="0.25">
      <c r="A45" s="467" t="s">
        <v>484</v>
      </c>
      <c r="B45" s="468" t="s">
        <v>30</v>
      </c>
      <c r="C45" s="469"/>
      <c r="D45" s="470"/>
      <c r="E45" s="470"/>
      <c r="F45" s="471">
        <f>'Estimate Template'!H129</f>
        <v>0</v>
      </c>
      <c r="G45" s="442">
        <f t="shared" si="1"/>
        <v>0</v>
      </c>
      <c r="AD45" s="421"/>
    </row>
    <row r="46" spans="1:30" hidden="1" x14ac:dyDescent="0.25">
      <c r="A46" s="467" t="s">
        <v>430</v>
      </c>
      <c r="B46" s="468" t="s">
        <v>611</v>
      </c>
      <c r="C46" s="469"/>
      <c r="D46" s="470"/>
      <c r="E46" s="470"/>
      <c r="F46" s="471">
        <f>'Estimate Template'!H130</f>
        <v>0</v>
      </c>
      <c r="G46" s="442">
        <f t="shared" ref="G46" si="2">MAX(E46,F46)</f>
        <v>0</v>
      </c>
      <c r="AD46" s="421"/>
    </row>
    <row r="47" spans="1:30" hidden="1" x14ac:dyDescent="0.25">
      <c r="A47" s="467" t="s">
        <v>610</v>
      </c>
      <c r="B47" s="468" t="s">
        <v>432</v>
      </c>
      <c r="C47" s="469"/>
      <c r="D47" s="470"/>
      <c r="E47" s="470"/>
      <c r="F47" s="471">
        <f>'Estimate Template'!H131</f>
        <v>0</v>
      </c>
      <c r="G47" s="442">
        <f>MAX(E47,F47)</f>
        <v>0</v>
      </c>
      <c r="AD47" s="421"/>
    </row>
    <row r="48" spans="1:30" ht="16.5" hidden="1" thickBot="1" x14ac:dyDescent="0.3">
      <c r="A48" s="429" t="s">
        <v>605</v>
      </c>
      <c r="B48" s="540" t="s">
        <v>606</v>
      </c>
      <c r="F48" s="471">
        <f>'Estimate Template'!H132</f>
        <v>0</v>
      </c>
      <c r="G48" s="442">
        <f>MAX(E48,F48)</f>
        <v>0</v>
      </c>
      <c r="AD48" s="421"/>
    </row>
    <row r="49" spans="1:36" ht="16.5" hidden="1" thickBot="1" x14ac:dyDescent="0.3">
      <c r="A49" s="432" t="s">
        <v>454</v>
      </c>
      <c r="B49" s="436" t="s">
        <v>94</v>
      </c>
      <c r="C49" s="439"/>
      <c r="D49" s="440"/>
      <c r="E49" s="440"/>
      <c r="F49" s="523"/>
      <c r="G49" s="446">
        <f>MAX('Estimate Template'!G39,'Estimate Template'!H133)</f>
        <v>0</v>
      </c>
    </row>
    <row r="50" spans="1:36" hidden="1" x14ac:dyDescent="0.25">
      <c r="A50" s="463" t="s">
        <v>433</v>
      </c>
      <c r="B50" s="464" t="s">
        <v>436</v>
      </c>
      <c r="C50" s="465"/>
      <c r="D50" s="454"/>
      <c r="E50" s="454"/>
      <c r="F50" s="483">
        <f>'Estimate Template'!H134</f>
        <v>0</v>
      </c>
      <c r="G50" s="442">
        <f t="shared" ref="G50:G52" si="3">MAX(E50,F50)</f>
        <v>0</v>
      </c>
      <c r="AD50" s="421"/>
    </row>
    <row r="51" spans="1:36" hidden="1" x14ac:dyDescent="0.25">
      <c r="A51" s="467" t="s">
        <v>434</v>
      </c>
      <c r="B51" s="468" t="s">
        <v>437</v>
      </c>
      <c r="C51" s="469"/>
      <c r="D51" s="470"/>
      <c r="E51" s="470"/>
      <c r="F51" s="488">
        <f>'Estimate Template'!H135</f>
        <v>0</v>
      </c>
      <c r="G51" s="442">
        <f t="shared" si="3"/>
        <v>0</v>
      </c>
      <c r="AD51" s="421"/>
    </row>
    <row r="52" spans="1:36" ht="16.5" hidden="1" thickBot="1" x14ac:dyDescent="0.3">
      <c r="A52" s="520" t="s">
        <v>435</v>
      </c>
      <c r="B52" s="448" t="s">
        <v>438</v>
      </c>
      <c r="C52" s="521"/>
      <c r="D52" s="522"/>
      <c r="E52" s="522"/>
      <c r="F52" s="524">
        <f>'Estimate Template'!H136</f>
        <v>0</v>
      </c>
      <c r="G52" s="778">
        <f t="shared" si="3"/>
        <v>0</v>
      </c>
      <c r="AD52" s="421"/>
    </row>
    <row r="53" spans="1:36" ht="16.5" hidden="1" thickBot="1" x14ac:dyDescent="0.3">
      <c r="A53" s="432"/>
      <c r="B53" s="436" t="s">
        <v>400</v>
      </c>
      <c r="C53" s="439"/>
      <c r="D53" s="440"/>
      <c r="E53" s="440"/>
      <c r="F53" s="440"/>
      <c r="G53" s="446">
        <f>SUM(F54,F59,F64,F69,F74,F79)</f>
        <v>0</v>
      </c>
    </row>
    <row r="54" spans="1:36" hidden="1" x14ac:dyDescent="0.25">
      <c r="A54" s="453" t="str">
        <f>'Estimate Template'!B46</f>
        <v>Alternate 1</v>
      </c>
      <c r="B54" s="473" t="str">
        <f>IF('Estimate Template'!C46=0," ",'Estimate Template'!C46)</f>
        <v xml:space="preserve"> </v>
      </c>
      <c r="C54" s="454"/>
      <c r="D54" s="454"/>
      <c r="E54" s="454"/>
      <c r="F54" s="455">
        <f>'Estimate Template'!H46</f>
        <v>0</v>
      </c>
      <c r="G54" s="442">
        <f t="shared" ref="G54" si="4">MAX(E54,F54)</f>
        <v>0</v>
      </c>
    </row>
    <row r="55" spans="1:36" hidden="1" x14ac:dyDescent="0.25">
      <c r="A55" s="456" t="s">
        <v>363</v>
      </c>
      <c r="B55" s="457">
        <f>'Estimate Template'!D46</f>
        <v>0</v>
      </c>
      <c r="C55" s="449"/>
      <c r="D55" s="450"/>
      <c r="E55" s="451"/>
      <c r="F55" s="452"/>
      <c r="G55" s="442">
        <f>B55</f>
        <v>0</v>
      </c>
      <c r="T55" s="422"/>
      <c r="AD55" s="422"/>
      <c r="AE55" s="422"/>
      <c r="AF55" s="422"/>
      <c r="AG55" s="422"/>
      <c r="AH55" s="422"/>
      <c r="AI55" s="422"/>
      <c r="AJ55" s="422"/>
    </row>
    <row r="56" spans="1:36" hidden="1" x14ac:dyDescent="0.25">
      <c r="A56" s="458" t="s">
        <v>401</v>
      </c>
      <c r="B56" s="459">
        <f>'Estimate Template'!E46</f>
        <v>0</v>
      </c>
      <c r="C56" s="449"/>
      <c r="D56" s="450"/>
      <c r="E56" s="451"/>
      <c r="F56" s="452">
        <f t="shared" ref="F56:F58" si="5">B56</f>
        <v>0</v>
      </c>
      <c r="G56" s="442">
        <f t="shared" ref="G56:G58" si="6">B56</f>
        <v>0</v>
      </c>
      <c r="T56" s="422"/>
      <c r="AD56" s="422"/>
      <c r="AE56" s="422"/>
      <c r="AF56" s="422"/>
      <c r="AG56" s="422"/>
      <c r="AH56" s="422"/>
      <c r="AI56" s="422"/>
      <c r="AJ56" s="422"/>
    </row>
    <row r="57" spans="1:36" hidden="1" x14ac:dyDescent="0.25">
      <c r="A57" s="458" t="s">
        <v>94</v>
      </c>
      <c r="B57" s="460">
        <f>'Estimate Template'!F46</f>
        <v>0</v>
      </c>
      <c r="C57" s="449"/>
      <c r="D57" s="450"/>
      <c r="E57" s="451"/>
      <c r="F57" s="452">
        <f t="shared" si="5"/>
        <v>0</v>
      </c>
      <c r="G57" s="442">
        <f t="shared" si="6"/>
        <v>0</v>
      </c>
      <c r="T57" s="422"/>
      <c r="AD57" s="422"/>
      <c r="AE57" s="422"/>
      <c r="AF57" s="422"/>
      <c r="AG57" s="422"/>
      <c r="AH57" s="422"/>
      <c r="AI57" s="422"/>
      <c r="AJ57" s="422"/>
    </row>
    <row r="58" spans="1:36" hidden="1" x14ac:dyDescent="0.25">
      <c r="A58" s="475" t="s">
        <v>235</v>
      </c>
      <c r="B58" s="476">
        <f>'Estimate Template'!G46</f>
        <v>0</v>
      </c>
      <c r="C58" s="477"/>
      <c r="D58" s="478"/>
      <c r="E58" s="479"/>
      <c r="F58" s="480">
        <f t="shared" si="5"/>
        <v>0</v>
      </c>
      <c r="G58" s="442">
        <f t="shared" si="6"/>
        <v>0</v>
      </c>
    </row>
    <row r="59" spans="1:36" hidden="1" x14ac:dyDescent="0.25">
      <c r="A59" s="473" t="str">
        <f>'Estimate Template'!B47</f>
        <v>Alternate 2</v>
      </c>
      <c r="B59" s="473" t="str">
        <f>IF('Estimate Template'!C47=0," ",'Estimate Template'!C47)</f>
        <v xml:space="preserve"> </v>
      </c>
      <c r="C59" s="470"/>
      <c r="D59" s="470"/>
      <c r="E59" s="470"/>
      <c r="F59" s="474">
        <f>SUM(B60:B63)</f>
        <v>0</v>
      </c>
      <c r="G59" s="442">
        <f>F59</f>
        <v>0</v>
      </c>
    </row>
    <row r="60" spans="1:36" hidden="1" x14ac:dyDescent="0.25">
      <c r="A60" s="456" t="s">
        <v>363</v>
      </c>
      <c r="B60" s="457">
        <f>'Estimate Template'!D47</f>
        <v>0</v>
      </c>
      <c r="C60" s="449"/>
      <c r="D60" s="450"/>
      <c r="E60" s="451"/>
      <c r="F60" s="452"/>
      <c r="G60" s="442">
        <f>B60</f>
        <v>0</v>
      </c>
    </row>
    <row r="61" spans="1:36" s="416" customFormat="1" hidden="1" x14ac:dyDescent="0.25">
      <c r="A61" s="458" t="s">
        <v>401</v>
      </c>
      <c r="B61" s="459">
        <f>'Estimate Template'!E47</f>
        <v>0</v>
      </c>
      <c r="C61" s="449"/>
      <c r="D61" s="450"/>
      <c r="E61" s="451"/>
      <c r="F61" s="452">
        <f t="shared" ref="F61:F63" si="7">B61</f>
        <v>0</v>
      </c>
      <c r="G61" s="442">
        <f t="shared" ref="G61:G63" si="8">B61</f>
        <v>0</v>
      </c>
      <c r="H61" s="418"/>
      <c r="I61" s="418"/>
      <c r="J61" s="418"/>
      <c r="K61" s="418"/>
      <c r="L61" s="418"/>
      <c r="M61" s="418"/>
      <c r="N61" s="418"/>
    </row>
    <row r="62" spans="1:36" hidden="1" x14ac:dyDescent="0.25">
      <c r="A62" s="458" t="s">
        <v>94</v>
      </c>
      <c r="B62" s="460">
        <f>'Estimate Template'!F47</f>
        <v>0</v>
      </c>
      <c r="C62" s="449"/>
      <c r="D62" s="450"/>
      <c r="E62" s="451"/>
      <c r="F62" s="452">
        <f t="shared" si="7"/>
        <v>0</v>
      </c>
      <c r="G62" s="442">
        <f t="shared" si="8"/>
        <v>0</v>
      </c>
    </row>
    <row r="63" spans="1:36" hidden="1" x14ac:dyDescent="0.25">
      <c r="A63" s="475" t="s">
        <v>235</v>
      </c>
      <c r="B63" s="476">
        <f>'Estimate Template'!G47</f>
        <v>0</v>
      </c>
      <c r="C63" s="477"/>
      <c r="D63" s="478"/>
      <c r="E63" s="479"/>
      <c r="F63" s="480">
        <f t="shared" si="7"/>
        <v>0</v>
      </c>
      <c r="G63" s="442">
        <f t="shared" si="8"/>
        <v>0</v>
      </c>
    </row>
    <row r="64" spans="1:36" hidden="1" x14ac:dyDescent="0.25">
      <c r="A64" s="473" t="str">
        <f>'Estimate Template'!B48</f>
        <v>Alternate 3</v>
      </c>
      <c r="B64" s="473" t="str">
        <f>IF('Estimate Template'!C48=0," ",'Estimate Template'!C48)</f>
        <v xml:space="preserve"> </v>
      </c>
      <c r="C64" s="470"/>
      <c r="D64" s="470"/>
      <c r="E64" s="470"/>
      <c r="F64" s="474">
        <f>SUM(B65:B68)</f>
        <v>0</v>
      </c>
      <c r="G64" s="442">
        <f>F64</f>
        <v>0</v>
      </c>
    </row>
    <row r="65" spans="1:10" hidden="1" x14ac:dyDescent="0.25">
      <c r="A65" s="456" t="s">
        <v>363</v>
      </c>
      <c r="B65" s="457">
        <f>'Estimate Template'!D48</f>
        <v>0</v>
      </c>
      <c r="C65" s="449"/>
      <c r="D65" s="450"/>
      <c r="E65" s="451"/>
      <c r="F65" s="452"/>
      <c r="G65" s="443">
        <f>B65</f>
        <v>0</v>
      </c>
    </row>
    <row r="66" spans="1:10" hidden="1" x14ac:dyDescent="0.25">
      <c r="A66" s="458" t="s">
        <v>401</v>
      </c>
      <c r="B66" s="459">
        <f>'Estimate Template'!E48</f>
        <v>0</v>
      </c>
      <c r="C66" s="449"/>
      <c r="D66" s="450"/>
      <c r="E66" s="451"/>
      <c r="F66" s="452">
        <f t="shared" ref="F66:F68" si="9">B66</f>
        <v>0</v>
      </c>
      <c r="G66" s="443">
        <f t="shared" ref="G66:G68" si="10">B66</f>
        <v>0</v>
      </c>
    </row>
    <row r="67" spans="1:10" hidden="1" x14ac:dyDescent="0.25">
      <c r="A67" s="458" t="s">
        <v>94</v>
      </c>
      <c r="B67" s="460">
        <f>'Estimate Template'!F48</f>
        <v>0</v>
      </c>
      <c r="C67" s="449"/>
      <c r="D67" s="450"/>
      <c r="E67" s="451"/>
      <c r="F67" s="452">
        <f t="shared" si="9"/>
        <v>0</v>
      </c>
      <c r="G67" s="443">
        <f t="shared" si="10"/>
        <v>0</v>
      </c>
      <c r="H67" s="416"/>
      <c r="I67" s="416"/>
      <c r="J67" s="416"/>
    </row>
    <row r="68" spans="1:10" hidden="1" x14ac:dyDescent="0.25">
      <c r="A68" s="475" t="s">
        <v>235</v>
      </c>
      <c r="B68" s="476">
        <f>'Estimate Template'!G48</f>
        <v>0</v>
      </c>
      <c r="C68" s="477"/>
      <c r="D68" s="478"/>
      <c r="E68" s="479"/>
      <c r="F68" s="480">
        <f t="shared" si="9"/>
        <v>0</v>
      </c>
      <c r="G68" s="443">
        <f t="shared" si="10"/>
        <v>0</v>
      </c>
    </row>
    <row r="69" spans="1:10" hidden="1" x14ac:dyDescent="0.25">
      <c r="A69" s="473" t="str">
        <f>'Estimate Template'!B49</f>
        <v>Alternate 4</v>
      </c>
      <c r="B69" s="473" t="str">
        <f>IF('Estimate Template'!C49=0," ",'Estimate Template'!C49)</f>
        <v xml:space="preserve"> </v>
      </c>
      <c r="C69" s="470"/>
      <c r="D69" s="470"/>
      <c r="E69" s="470"/>
      <c r="F69" s="474">
        <f>SUM(B70:B73)</f>
        <v>0</v>
      </c>
      <c r="G69" s="442">
        <f>F69</f>
        <v>0</v>
      </c>
    </row>
    <row r="70" spans="1:10" hidden="1" x14ac:dyDescent="0.25">
      <c r="A70" s="456" t="s">
        <v>363</v>
      </c>
      <c r="B70" s="457">
        <f>'Estimate Template'!D49</f>
        <v>0</v>
      </c>
      <c r="C70" s="449"/>
      <c r="D70" s="450"/>
      <c r="E70" s="451"/>
      <c r="F70" s="452"/>
      <c r="G70" s="443">
        <f>B70</f>
        <v>0</v>
      </c>
    </row>
    <row r="71" spans="1:10" hidden="1" x14ac:dyDescent="0.25">
      <c r="A71" s="458" t="s">
        <v>401</v>
      </c>
      <c r="B71" s="459">
        <f>'Estimate Template'!E49</f>
        <v>0</v>
      </c>
      <c r="C71" s="449"/>
      <c r="D71" s="450"/>
      <c r="E71" s="451"/>
      <c r="F71" s="452">
        <f t="shared" ref="F71:F73" si="11">B71</f>
        <v>0</v>
      </c>
      <c r="G71" s="443">
        <f t="shared" ref="G71:G73" si="12">B71</f>
        <v>0</v>
      </c>
    </row>
    <row r="72" spans="1:10" hidden="1" x14ac:dyDescent="0.25">
      <c r="A72" s="458" t="s">
        <v>94</v>
      </c>
      <c r="B72" s="460">
        <f>'Estimate Template'!F49</f>
        <v>0</v>
      </c>
      <c r="C72" s="449"/>
      <c r="D72" s="450"/>
      <c r="E72" s="451"/>
      <c r="F72" s="452">
        <f t="shared" si="11"/>
        <v>0</v>
      </c>
      <c r="G72" s="443">
        <f t="shared" si="12"/>
        <v>0</v>
      </c>
    </row>
    <row r="73" spans="1:10" hidden="1" x14ac:dyDescent="0.25">
      <c r="A73" s="461" t="s">
        <v>235</v>
      </c>
      <c r="B73" s="462">
        <f>'Estimate Template'!G49</f>
        <v>0</v>
      </c>
      <c r="C73" s="449"/>
      <c r="D73" s="450"/>
      <c r="E73" s="451"/>
      <c r="F73" s="452">
        <f t="shared" si="11"/>
        <v>0</v>
      </c>
      <c r="G73" s="443">
        <f t="shared" si="12"/>
        <v>0</v>
      </c>
    </row>
    <row r="74" spans="1:10" hidden="1" x14ac:dyDescent="0.25">
      <c r="A74" s="473" t="str">
        <f>'Estimate Template'!B50</f>
        <v>Alternate 5</v>
      </c>
      <c r="B74" s="473" t="str">
        <f>IF('Estimate Template'!C41=0," ",'Estimate Template'!C50)</f>
        <v xml:space="preserve"> </v>
      </c>
      <c r="C74" s="470"/>
      <c r="D74" s="470"/>
      <c r="E74" s="470"/>
      <c r="F74" s="474">
        <f>SUM(B75:B78)</f>
        <v>0</v>
      </c>
      <c r="G74" s="442">
        <f>F74</f>
        <v>0</v>
      </c>
    </row>
    <row r="75" spans="1:10" hidden="1" x14ac:dyDescent="0.25">
      <c r="A75" s="456" t="s">
        <v>363</v>
      </c>
      <c r="B75" s="457">
        <f>'Estimate Template'!D50</f>
        <v>0</v>
      </c>
      <c r="C75" s="449"/>
      <c r="D75" s="450"/>
      <c r="E75" s="451"/>
      <c r="F75" s="452"/>
      <c r="G75" s="443">
        <f>B75</f>
        <v>0</v>
      </c>
    </row>
    <row r="76" spans="1:10" hidden="1" x14ac:dyDescent="0.25">
      <c r="A76" s="458" t="s">
        <v>401</v>
      </c>
      <c r="B76" s="459">
        <f>'Estimate Template'!E50</f>
        <v>0</v>
      </c>
      <c r="C76" s="449"/>
      <c r="D76" s="450"/>
      <c r="E76" s="451"/>
      <c r="F76" s="452">
        <f t="shared" ref="F76:F78" si="13">B76</f>
        <v>0</v>
      </c>
      <c r="G76" s="443">
        <f t="shared" ref="G76:G78" si="14">B76</f>
        <v>0</v>
      </c>
    </row>
    <row r="77" spans="1:10" hidden="1" x14ac:dyDescent="0.25">
      <c r="A77" s="458" t="s">
        <v>94</v>
      </c>
      <c r="B77" s="460">
        <f>'Estimate Template'!F50</f>
        <v>0</v>
      </c>
      <c r="C77" s="449"/>
      <c r="D77" s="450"/>
      <c r="E77" s="451"/>
      <c r="F77" s="452">
        <f t="shared" si="13"/>
        <v>0</v>
      </c>
      <c r="G77" s="443">
        <f t="shared" si="14"/>
        <v>0</v>
      </c>
    </row>
    <row r="78" spans="1:10" hidden="1" x14ac:dyDescent="0.25">
      <c r="A78" s="461" t="s">
        <v>235</v>
      </c>
      <c r="B78" s="462">
        <f>'Estimate Template'!G50</f>
        <v>0</v>
      </c>
      <c r="C78" s="449"/>
      <c r="D78" s="450"/>
      <c r="E78" s="451"/>
      <c r="F78" s="452">
        <f t="shared" si="13"/>
        <v>0</v>
      </c>
      <c r="G78" s="443">
        <f t="shared" si="14"/>
        <v>0</v>
      </c>
    </row>
    <row r="79" spans="1:10" hidden="1" x14ac:dyDescent="0.25">
      <c r="A79" s="473" t="str">
        <f>'Estimate Template'!B51</f>
        <v>Alternate 6</v>
      </c>
      <c r="B79" s="473" t="str">
        <f>IF('Estimate Template'!C51=0," ",'Estimate Template'!C51)</f>
        <v xml:space="preserve"> </v>
      </c>
      <c r="C79" s="470"/>
      <c r="D79" s="470"/>
      <c r="E79" s="470"/>
      <c r="F79" s="474">
        <f>SUM(B80:B83)</f>
        <v>0</v>
      </c>
      <c r="G79" s="442">
        <f>F79</f>
        <v>0</v>
      </c>
    </row>
    <row r="80" spans="1:10" hidden="1" x14ac:dyDescent="0.25">
      <c r="A80" s="456" t="s">
        <v>363</v>
      </c>
      <c r="B80" s="457">
        <f>'Estimate Template'!D51</f>
        <v>0</v>
      </c>
      <c r="C80" s="449"/>
      <c r="D80" s="450"/>
      <c r="E80" s="451"/>
      <c r="F80" s="452"/>
      <c r="G80" s="443">
        <f>B80</f>
        <v>0</v>
      </c>
    </row>
    <row r="81" spans="1:36" hidden="1" x14ac:dyDescent="0.25">
      <c r="A81" s="458" t="s">
        <v>401</v>
      </c>
      <c r="B81" s="459">
        <f>'Estimate Template'!E51</f>
        <v>0</v>
      </c>
      <c r="C81" s="449"/>
      <c r="D81" s="450"/>
      <c r="E81" s="451"/>
      <c r="F81" s="452">
        <f t="shared" ref="F81:F83" si="15">B81</f>
        <v>0</v>
      </c>
      <c r="G81" s="443">
        <f t="shared" ref="G81:G83" si="16">B81</f>
        <v>0</v>
      </c>
    </row>
    <row r="82" spans="1:36" hidden="1" x14ac:dyDescent="0.25">
      <c r="A82" s="458" t="s">
        <v>94</v>
      </c>
      <c r="B82" s="460">
        <f>'Estimate Template'!F51</f>
        <v>0</v>
      </c>
      <c r="C82" s="449"/>
      <c r="D82" s="450"/>
      <c r="E82" s="451"/>
      <c r="F82" s="452">
        <f t="shared" si="15"/>
        <v>0</v>
      </c>
      <c r="G82" s="443">
        <f t="shared" si="16"/>
        <v>0</v>
      </c>
    </row>
    <row r="83" spans="1:36" hidden="1" x14ac:dyDescent="0.25">
      <c r="A83" s="475" t="s">
        <v>235</v>
      </c>
      <c r="B83" s="476">
        <f>'Estimate Template'!G51</f>
        <v>0</v>
      </c>
      <c r="C83" s="477"/>
      <c r="D83" s="478"/>
      <c r="E83" s="479"/>
      <c r="F83" s="480">
        <f t="shared" si="15"/>
        <v>0</v>
      </c>
      <c r="G83" s="443">
        <f t="shared" si="16"/>
        <v>0</v>
      </c>
    </row>
    <row r="84" spans="1:36" hidden="1" x14ac:dyDescent="0.25">
      <c r="A84" s="473" t="str">
        <f>'Estimate Template'!B52</f>
        <v>Alternate 7</v>
      </c>
      <c r="B84" s="473" t="str">
        <f>IF('Estimate Template'!C52=0," ",'Estimate Template'!C52)</f>
        <v xml:space="preserve"> </v>
      </c>
      <c r="C84" s="470"/>
      <c r="D84" s="470"/>
      <c r="E84" s="470"/>
      <c r="F84" s="474">
        <f>'Estimate Template'!H76</f>
        <v>0</v>
      </c>
      <c r="G84" s="442">
        <f t="shared" ref="G84" si="17">MAX(E84,F84)</f>
        <v>0</v>
      </c>
    </row>
    <row r="85" spans="1:36" hidden="1" x14ac:dyDescent="0.25">
      <c r="A85" s="456" t="s">
        <v>363</v>
      </c>
      <c r="B85" s="457">
        <f>'Estimate Template'!D52</f>
        <v>0</v>
      </c>
      <c r="C85" s="449"/>
      <c r="D85" s="450"/>
      <c r="E85" s="451"/>
      <c r="F85" s="452"/>
      <c r="G85" s="442">
        <f>B85</f>
        <v>0</v>
      </c>
      <c r="T85" s="422"/>
      <c r="AD85" s="422"/>
      <c r="AE85" s="422"/>
      <c r="AF85" s="422"/>
      <c r="AG85" s="422"/>
      <c r="AH85" s="422"/>
      <c r="AI85" s="422"/>
      <c r="AJ85" s="422"/>
    </row>
    <row r="86" spans="1:36" hidden="1" x14ac:dyDescent="0.25">
      <c r="A86" s="458" t="s">
        <v>401</v>
      </c>
      <c r="B86" s="459">
        <f>'Estimate Template'!E52</f>
        <v>0</v>
      </c>
      <c r="C86" s="449"/>
      <c r="D86" s="450"/>
      <c r="E86" s="451"/>
      <c r="F86" s="452">
        <f t="shared" ref="F86:F88" si="18">B86</f>
        <v>0</v>
      </c>
      <c r="G86" s="442">
        <f t="shared" ref="G86:G88" si="19">B86</f>
        <v>0</v>
      </c>
      <c r="T86" s="422"/>
      <c r="AD86" s="422"/>
      <c r="AE86" s="422"/>
      <c r="AF86" s="422"/>
      <c r="AG86" s="422"/>
      <c r="AH86" s="422"/>
      <c r="AI86" s="422"/>
      <c r="AJ86" s="422"/>
    </row>
    <row r="87" spans="1:36" hidden="1" x14ac:dyDescent="0.25">
      <c r="A87" s="458" t="s">
        <v>94</v>
      </c>
      <c r="B87" s="460">
        <f>'Estimate Template'!F52</f>
        <v>0</v>
      </c>
      <c r="C87" s="449"/>
      <c r="D87" s="450"/>
      <c r="E87" s="451"/>
      <c r="F87" s="452">
        <f t="shared" si="18"/>
        <v>0</v>
      </c>
      <c r="G87" s="442">
        <f t="shared" si="19"/>
        <v>0</v>
      </c>
      <c r="T87" s="422"/>
      <c r="AD87" s="422"/>
      <c r="AE87" s="422"/>
      <c r="AF87" s="422"/>
      <c r="AG87" s="422"/>
      <c r="AH87" s="422"/>
      <c r="AI87" s="422"/>
      <c r="AJ87" s="422"/>
    </row>
    <row r="88" spans="1:36" hidden="1" x14ac:dyDescent="0.25">
      <c r="A88" s="475" t="s">
        <v>235</v>
      </c>
      <c r="B88" s="476">
        <f>'Estimate Template'!G52</f>
        <v>0</v>
      </c>
      <c r="C88" s="477"/>
      <c r="D88" s="478"/>
      <c r="E88" s="479"/>
      <c r="F88" s="480">
        <f t="shared" si="18"/>
        <v>0</v>
      </c>
      <c r="G88" s="442">
        <f t="shared" si="19"/>
        <v>0</v>
      </c>
    </row>
    <row r="89" spans="1:36" hidden="1" x14ac:dyDescent="0.25">
      <c r="A89" s="473" t="str">
        <f>'Estimate Template'!B53</f>
        <v>Alternate 8</v>
      </c>
      <c r="B89" s="473" t="str">
        <f>IF('Estimate Template'!C53=0," ",'Estimate Template'!C53)</f>
        <v xml:space="preserve"> </v>
      </c>
      <c r="C89" s="470"/>
      <c r="D89" s="470"/>
      <c r="E89" s="470"/>
      <c r="F89" s="474">
        <f>SUM(B90:B93)</f>
        <v>0</v>
      </c>
      <c r="G89" s="442">
        <f>F89</f>
        <v>0</v>
      </c>
    </row>
    <row r="90" spans="1:36" hidden="1" x14ac:dyDescent="0.25">
      <c r="A90" s="456" t="s">
        <v>363</v>
      </c>
      <c r="B90" s="457">
        <f>'Estimate Template'!D53</f>
        <v>0</v>
      </c>
      <c r="C90" s="449"/>
      <c r="D90" s="450"/>
      <c r="E90" s="451"/>
      <c r="F90" s="452"/>
      <c r="G90" s="442">
        <f>B90</f>
        <v>0</v>
      </c>
    </row>
    <row r="91" spans="1:36" s="416" customFormat="1" hidden="1" x14ac:dyDescent="0.25">
      <c r="A91" s="458" t="s">
        <v>401</v>
      </c>
      <c r="B91" s="459">
        <f>'Estimate Template'!E53</f>
        <v>0</v>
      </c>
      <c r="C91" s="449"/>
      <c r="D91" s="450"/>
      <c r="E91" s="451"/>
      <c r="F91" s="452">
        <f t="shared" ref="F91:F93" si="20">B91</f>
        <v>0</v>
      </c>
      <c r="G91" s="442">
        <f t="shared" ref="G91:G93" si="21">B91</f>
        <v>0</v>
      </c>
      <c r="H91" s="418"/>
      <c r="I91" s="418"/>
      <c r="J91" s="418"/>
      <c r="K91" s="418"/>
      <c r="L91" s="418"/>
      <c r="M91" s="418"/>
      <c r="N91" s="418"/>
    </row>
    <row r="92" spans="1:36" hidden="1" x14ac:dyDescent="0.25">
      <c r="A92" s="458" t="s">
        <v>94</v>
      </c>
      <c r="B92" s="460">
        <f>'Estimate Template'!F53</f>
        <v>0</v>
      </c>
      <c r="C92" s="449"/>
      <c r="D92" s="450"/>
      <c r="E92" s="451"/>
      <c r="F92" s="452">
        <f t="shared" si="20"/>
        <v>0</v>
      </c>
      <c r="G92" s="442">
        <f t="shared" si="21"/>
        <v>0</v>
      </c>
    </row>
    <row r="93" spans="1:36" hidden="1" x14ac:dyDescent="0.25">
      <c r="A93" s="475" t="s">
        <v>235</v>
      </c>
      <c r="B93" s="476">
        <f>'Estimate Template'!G53</f>
        <v>0</v>
      </c>
      <c r="C93" s="477"/>
      <c r="D93" s="478"/>
      <c r="E93" s="479"/>
      <c r="F93" s="480">
        <f t="shared" si="20"/>
        <v>0</v>
      </c>
      <c r="G93" s="442">
        <f t="shared" si="21"/>
        <v>0</v>
      </c>
    </row>
    <row r="94" spans="1:36" hidden="1" x14ac:dyDescent="0.25">
      <c r="A94" s="473" t="str">
        <f>'Estimate Template'!B54</f>
        <v>Alternate 9</v>
      </c>
      <c r="B94" s="473" t="str">
        <f>IF('Estimate Template'!C54=0," ",'Estimate Template'!C54)</f>
        <v xml:space="preserve"> </v>
      </c>
      <c r="C94" s="470"/>
      <c r="D94" s="470"/>
      <c r="E94" s="470"/>
      <c r="F94" s="474">
        <f>SUM(B95:B98)</f>
        <v>0</v>
      </c>
      <c r="G94" s="442">
        <f>F94</f>
        <v>0</v>
      </c>
    </row>
    <row r="95" spans="1:36" hidden="1" x14ac:dyDescent="0.25">
      <c r="A95" s="456" t="s">
        <v>363</v>
      </c>
      <c r="B95" s="457">
        <f>'Estimate Template'!D78</f>
        <v>0</v>
      </c>
      <c r="C95" s="449"/>
      <c r="D95" s="450"/>
      <c r="E95" s="451"/>
      <c r="F95" s="452"/>
      <c r="G95" s="443">
        <f>B95</f>
        <v>0</v>
      </c>
    </row>
    <row r="96" spans="1:36" hidden="1" x14ac:dyDescent="0.25">
      <c r="A96" s="458" t="s">
        <v>401</v>
      </c>
      <c r="B96" s="459">
        <f>'Estimate Template'!E78</f>
        <v>0</v>
      </c>
      <c r="C96" s="449"/>
      <c r="D96" s="450"/>
      <c r="E96" s="451"/>
      <c r="F96" s="452">
        <f t="shared" ref="F96:F98" si="22">B96</f>
        <v>0</v>
      </c>
      <c r="G96" s="443">
        <f t="shared" ref="G96:G98" si="23">B96</f>
        <v>0</v>
      </c>
    </row>
    <row r="97" spans="1:10" hidden="1" x14ac:dyDescent="0.25">
      <c r="A97" s="458" t="s">
        <v>94</v>
      </c>
      <c r="B97" s="460">
        <f>'Estimate Template'!F78</f>
        <v>0</v>
      </c>
      <c r="C97" s="449"/>
      <c r="D97" s="450"/>
      <c r="E97" s="451"/>
      <c r="F97" s="452">
        <f t="shared" si="22"/>
        <v>0</v>
      </c>
      <c r="G97" s="443">
        <f t="shared" si="23"/>
        <v>0</v>
      </c>
      <c r="H97" s="416"/>
      <c r="I97" s="416"/>
      <c r="J97" s="416"/>
    </row>
    <row r="98" spans="1:10" hidden="1" x14ac:dyDescent="0.25">
      <c r="A98" s="475" t="s">
        <v>235</v>
      </c>
      <c r="B98" s="476">
        <f>'Estimate Template'!G78</f>
        <v>0</v>
      </c>
      <c r="C98" s="477"/>
      <c r="D98" s="478"/>
      <c r="E98" s="479"/>
      <c r="F98" s="480">
        <f t="shared" si="22"/>
        <v>0</v>
      </c>
      <c r="G98" s="443">
        <f t="shared" si="23"/>
        <v>0</v>
      </c>
    </row>
    <row r="99" spans="1:10" hidden="1" x14ac:dyDescent="0.25">
      <c r="A99" s="473" t="str">
        <f>'Estimate Template'!B55</f>
        <v>Alternate 10</v>
      </c>
      <c r="B99" s="473" t="str">
        <f>IF('Estimate Template'!C55=0," ",'Estimate Template'!C55)</f>
        <v xml:space="preserve"> </v>
      </c>
      <c r="C99" s="470"/>
      <c r="D99" s="470"/>
      <c r="E99" s="470"/>
      <c r="F99" s="474">
        <f>SUM(B100:B103)</f>
        <v>0</v>
      </c>
      <c r="G99" s="442">
        <f>F99</f>
        <v>0</v>
      </c>
    </row>
    <row r="100" spans="1:10" hidden="1" x14ac:dyDescent="0.25">
      <c r="A100" s="456" t="s">
        <v>363</v>
      </c>
      <c r="B100" s="457">
        <f>'Estimate Template'!D55</f>
        <v>0</v>
      </c>
      <c r="C100" s="449"/>
      <c r="D100" s="450"/>
      <c r="E100" s="451"/>
      <c r="F100" s="452"/>
      <c r="G100" s="443">
        <f>B100</f>
        <v>0</v>
      </c>
    </row>
    <row r="101" spans="1:10" hidden="1" x14ac:dyDescent="0.25">
      <c r="A101" s="458" t="s">
        <v>401</v>
      </c>
      <c r="B101" s="459">
        <f>'Estimate Template'!E55</f>
        <v>0</v>
      </c>
      <c r="C101" s="449"/>
      <c r="D101" s="450"/>
      <c r="E101" s="451"/>
      <c r="F101" s="452">
        <f t="shared" ref="F101:F103" si="24">B101</f>
        <v>0</v>
      </c>
      <c r="G101" s="443">
        <f t="shared" ref="G101:G103" si="25">B101</f>
        <v>0</v>
      </c>
    </row>
    <row r="102" spans="1:10" hidden="1" x14ac:dyDescent="0.25">
      <c r="A102" s="458" t="s">
        <v>94</v>
      </c>
      <c r="B102" s="460">
        <f>'Estimate Template'!F55</f>
        <v>0</v>
      </c>
      <c r="C102" s="449"/>
      <c r="D102" s="450"/>
      <c r="E102" s="451"/>
      <c r="F102" s="452">
        <f t="shared" si="24"/>
        <v>0</v>
      </c>
      <c r="G102" s="443">
        <f t="shared" si="25"/>
        <v>0</v>
      </c>
    </row>
    <row r="103" spans="1:10" hidden="1" x14ac:dyDescent="0.25">
      <c r="A103" s="461" t="s">
        <v>235</v>
      </c>
      <c r="B103" s="462">
        <f>'Estimate Template'!G55</f>
        <v>0</v>
      </c>
      <c r="C103" s="449"/>
      <c r="D103" s="450"/>
      <c r="E103" s="451"/>
      <c r="F103" s="452">
        <f t="shared" si="24"/>
        <v>0</v>
      </c>
      <c r="G103" s="443">
        <f t="shared" si="25"/>
        <v>0</v>
      </c>
    </row>
    <row r="104" spans="1:10" hidden="1" x14ac:dyDescent="0.25">
      <c r="A104" s="473" t="str">
        <f>'Estimate Template'!B56</f>
        <v>Alternate 11</v>
      </c>
      <c r="B104" s="473" t="str">
        <f>IF('Estimate Template'!C56=0," ",'Estimate Template'!C56)</f>
        <v xml:space="preserve"> </v>
      </c>
      <c r="C104" s="470"/>
      <c r="D104" s="470"/>
      <c r="E104" s="470"/>
      <c r="F104" s="474">
        <f>SUM(B105:B108)</f>
        <v>0</v>
      </c>
      <c r="G104" s="442">
        <f>F104</f>
        <v>0</v>
      </c>
    </row>
    <row r="105" spans="1:10" hidden="1" x14ac:dyDescent="0.25">
      <c r="A105" s="456" t="s">
        <v>363</v>
      </c>
      <c r="B105" s="457">
        <f>'Estimate Template'!D56</f>
        <v>0</v>
      </c>
      <c r="C105" s="449"/>
      <c r="D105" s="450"/>
      <c r="E105" s="451"/>
      <c r="F105" s="452"/>
      <c r="G105" s="443">
        <f>B105</f>
        <v>0</v>
      </c>
    </row>
    <row r="106" spans="1:10" hidden="1" x14ac:dyDescent="0.25">
      <c r="A106" s="458" t="s">
        <v>401</v>
      </c>
      <c r="B106" s="459">
        <f>'Estimate Template'!E56</f>
        <v>0</v>
      </c>
      <c r="C106" s="449"/>
      <c r="D106" s="450"/>
      <c r="E106" s="451"/>
      <c r="F106" s="452">
        <f t="shared" ref="F106:F108" si="26">B106</f>
        <v>0</v>
      </c>
      <c r="G106" s="443">
        <f t="shared" ref="G106:G108" si="27">B106</f>
        <v>0</v>
      </c>
    </row>
    <row r="107" spans="1:10" hidden="1" x14ac:dyDescent="0.25">
      <c r="A107" s="458" t="s">
        <v>94</v>
      </c>
      <c r="B107" s="460">
        <f>'Estimate Template'!F56</f>
        <v>0</v>
      </c>
      <c r="C107" s="449"/>
      <c r="D107" s="450"/>
      <c r="E107" s="451"/>
      <c r="F107" s="452">
        <f t="shared" si="26"/>
        <v>0</v>
      </c>
      <c r="G107" s="443">
        <f t="shared" si="27"/>
        <v>0</v>
      </c>
    </row>
    <row r="108" spans="1:10" hidden="1" x14ac:dyDescent="0.25">
      <c r="A108" s="461" t="s">
        <v>235</v>
      </c>
      <c r="B108" s="462">
        <f>'Estimate Template'!G56</f>
        <v>0</v>
      </c>
      <c r="C108" s="449"/>
      <c r="D108" s="450"/>
      <c r="E108" s="451"/>
      <c r="F108" s="452">
        <f t="shared" si="26"/>
        <v>0</v>
      </c>
      <c r="G108" s="443">
        <f t="shared" si="27"/>
        <v>0</v>
      </c>
    </row>
    <row r="109" spans="1:10" hidden="1" x14ac:dyDescent="0.25">
      <c r="A109" s="473" t="str">
        <f>'Estimate Template'!B57</f>
        <v>Alternate 12</v>
      </c>
      <c r="B109" s="473" t="str">
        <f>IF('Estimate Template'!C57=0," ",'Estimate Template'!C57)</f>
        <v xml:space="preserve"> </v>
      </c>
      <c r="C109" s="470"/>
      <c r="D109" s="470"/>
      <c r="E109" s="470"/>
      <c r="F109" s="474">
        <f>SUM(B110:B113)</f>
        <v>0</v>
      </c>
      <c r="G109" s="442">
        <f>F109</f>
        <v>0</v>
      </c>
    </row>
    <row r="110" spans="1:10" hidden="1" x14ac:dyDescent="0.25">
      <c r="A110" s="456" t="s">
        <v>363</v>
      </c>
      <c r="B110" s="457">
        <f>'Estimate Template'!D57</f>
        <v>0</v>
      </c>
      <c r="C110" s="449"/>
      <c r="D110" s="450"/>
      <c r="E110" s="451"/>
      <c r="F110" s="452"/>
      <c r="G110" s="443">
        <f>B110</f>
        <v>0</v>
      </c>
    </row>
    <row r="111" spans="1:10" hidden="1" x14ac:dyDescent="0.25">
      <c r="A111" s="458" t="s">
        <v>401</v>
      </c>
      <c r="B111" s="459">
        <f>'Estimate Template'!E57</f>
        <v>0</v>
      </c>
      <c r="C111" s="449"/>
      <c r="D111" s="450"/>
      <c r="E111" s="451"/>
      <c r="F111" s="452">
        <f t="shared" ref="F111:F113" si="28">B111</f>
        <v>0</v>
      </c>
      <c r="G111" s="443">
        <f t="shared" ref="G111:G113" si="29">B111</f>
        <v>0</v>
      </c>
    </row>
    <row r="112" spans="1:10" hidden="1" x14ac:dyDescent="0.25">
      <c r="A112" s="458" t="s">
        <v>94</v>
      </c>
      <c r="B112" s="460">
        <f>'Estimate Template'!F57</f>
        <v>0</v>
      </c>
      <c r="C112" s="449"/>
      <c r="D112" s="450"/>
      <c r="E112" s="451"/>
      <c r="F112" s="452">
        <f t="shared" si="28"/>
        <v>0</v>
      </c>
      <c r="G112" s="443">
        <f t="shared" si="29"/>
        <v>0</v>
      </c>
    </row>
    <row r="113" spans="1:7" hidden="1" x14ac:dyDescent="0.25">
      <c r="A113" s="461" t="s">
        <v>235</v>
      </c>
      <c r="B113" s="462">
        <f>'Estimate Template'!G57</f>
        <v>0</v>
      </c>
      <c r="C113" s="449"/>
      <c r="D113" s="450"/>
      <c r="E113" s="451"/>
      <c r="F113" s="452">
        <f t="shared" si="28"/>
        <v>0</v>
      </c>
      <c r="G113" s="443">
        <f t="shared" si="29"/>
        <v>0</v>
      </c>
    </row>
    <row r="114" spans="1:7" x14ac:dyDescent="0.25">
      <c r="G114" s="423"/>
    </row>
    <row r="115" spans="1:7" ht="19.5" hidden="1" thickBot="1" x14ac:dyDescent="0.3">
      <c r="A115" s="432"/>
      <c r="B115" s="436" t="s">
        <v>461</v>
      </c>
      <c r="C115" s="439"/>
      <c r="D115" s="440"/>
      <c r="E115" s="440"/>
      <c r="F115" s="440"/>
      <c r="G115" s="446">
        <f>'Below The Line'!F54-'Below The Line'!F7</f>
        <v>0</v>
      </c>
    </row>
    <row r="116" spans="1:7" ht="16.5" thickBot="1" x14ac:dyDescent="0.3">
      <c r="C116" s="418"/>
      <c r="G116" s="423"/>
    </row>
    <row r="117" spans="1:7" ht="16.5" hidden="1" thickBot="1" x14ac:dyDescent="0.3">
      <c r="C117" s="418"/>
      <c r="E117" s="929" t="s">
        <v>556</v>
      </c>
      <c r="F117" s="930"/>
      <c r="G117" s="447">
        <f>SUM(G5,G22,G34,G40,G41,G42,G49,G33)</f>
        <v>0</v>
      </c>
    </row>
    <row r="118" spans="1:7" ht="16.5" hidden="1" thickBot="1" x14ac:dyDescent="0.3">
      <c r="C118" s="418"/>
      <c r="E118" s="929" t="s">
        <v>555</v>
      </c>
      <c r="F118" s="930"/>
      <c r="G118" s="447">
        <f>IF(G53=0,0,G117+G53)</f>
        <v>0</v>
      </c>
    </row>
    <row r="119" spans="1:7" ht="16.5" hidden="1" thickBot="1" x14ac:dyDescent="0.3">
      <c r="C119" s="418"/>
      <c r="E119" s="929" t="s">
        <v>458</v>
      </c>
      <c r="F119" s="930"/>
      <c r="G119" s="447">
        <f>IF(G115=0,0,G117+G53+G115)</f>
        <v>0</v>
      </c>
    </row>
    <row r="120" spans="1:7" x14ac:dyDescent="0.25">
      <c r="A120" s="920" t="s">
        <v>462</v>
      </c>
      <c r="B120" s="921"/>
      <c r="C120" s="921"/>
      <c r="D120" s="922"/>
      <c r="E120" s="416"/>
      <c r="F120" s="416"/>
      <c r="G120" s="416"/>
    </row>
    <row r="121" spans="1:7" x14ac:dyDescent="0.25">
      <c r="A121" s="923"/>
      <c r="B121" s="924"/>
      <c r="C121" s="924"/>
      <c r="D121" s="925"/>
    </row>
    <row r="122" spans="1:7" x14ac:dyDescent="0.25">
      <c r="A122" s="923"/>
      <c r="B122" s="924"/>
      <c r="C122" s="924"/>
      <c r="D122" s="925"/>
    </row>
    <row r="123" spans="1:7" x14ac:dyDescent="0.25">
      <c r="A123" s="923"/>
      <c r="B123" s="924"/>
      <c r="C123" s="924"/>
      <c r="D123" s="925"/>
    </row>
    <row r="124" spans="1:7" x14ac:dyDescent="0.25">
      <c r="A124" s="923"/>
      <c r="B124" s="924"/>
      <c r="C124" s="924"/>
      <c r="D124" s="925"/>
    </row>
    <row r="125" spans="1:7" ht="16.5" thickBot="1" x14ac:dyDescent="0.3">
      <c r="A125" s="926"/>
      <c r="B125" s="927"/>
      <c r="C125" s="927"/>
      <c r="D125" s="928"/>
    </row>
  </sheetData>
  <autoFilter ref="G4:G125" xr:uid="{370D4D25-3AEE-430C-A88B-5485B2BB6C40}">
    <filterColumn colId="0">
      <customFilters>
        <customFilter operator="notEqual" val="0"/>
      </customFilters>
    </filterColumn>
  </autoFilter>
  <dataConsolidate/>
  <mergeCells count="6">
    <mergeCell ref="A120:D125"/>
    <mergeCell ref="E117:F117"/>
    <mergeCell ref="E119:F119"/>
    <mergeCell ref="A1:D1"/>
    <mergeCell ref="A2:D2"/>
    <mergeCell ref="E118:F118"/>
  </mergeCells>
  <pageMargins left="0.7" right="0.7" top="0.75" bottom="0.75" header="0.3" footer="0.3"/>
  <pageSetup scale="74" fitToWidth="0" fitToHeight="0" orientation="portrait" r:id="rId1"/>
  <headerFooter>
    <oddHeader>&amp;L&amp;"-,Regular"Printed: &amp;D @ &amp;T&amp;R&amp;"-,Regular"Page &amp;P of &amp;N</oddHeader>
    <oddFooter>&amp;L&amp;"-,Regular"&amp;F&amp;C&amp;"-,Regular"&amp;A&amp;R&amp;"-,Regular"Budget Version 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9" tint="-0.249977111117893"/>
  </sheetPr>
  <dimension ref="A1:E57"/>
  <sheetViews>
    <sheetView view="pageLayout" topLeftCell="A10" zoomScale="80" zoomScaleNormal="100" zoomScaleSheetLayoutView="87" zoomScalePageLayoutView="80" workbookViewId="0">
      <selection activeCell="B21" sqref="B21"/>
    </sheetView>
  </sheetViews>
  <sheetFormatPr defaultColWidth="6.28515625" defaultRowHeight="15" x14ac:dyDescent="0.2"/>
  <cols>
    <col min="1" max="1" width="11.42578125" style="428" customWidth="1"/>
    <col min="2" max="2" width="40.7109375" style="428" bestFit="1" customWidth="1"/>
    <col min="3" max="3" width="19" style="491" bestFit="1" customWidth="1"/>
    <col min="4" max="4" width="19.42578125" style="492" bestFit="1" customWidth="1"/>
    <col min="5" max="5" width="19.42578125" style="428" bestFit="1" customWidth="1"/>
    <col min="6" max="6" width="14.7109375" style="428" customWidth="1"/>
    <col min="7" max="16384" width="6.28515625" style="428"/>
  </cols>
  <sheetData>
    <row r="1" spans="1:5" ht="23.25" x14ac:dyDescent="0.35">
      <c r="A1" s="932" t="str">
        <f>'Total Project Estimate (PDF ME)'!A1</f>
        <v>OSU-######</v>
      </c>
      <c r="B1" s="933"/>
      <c r="C1" s="933"/>
      <c r="D1" s="933"/>
      <c r="E1" s="513"/>
    </row>
    <row r="2" spans="1:5" ht="23.25" x14ac:dyDescent="0.35">
      <c r="A2" s="934" t="str">
        <f>'Total Project Estimate (PDF ME)'!A2</f>
        <v>Project Name</v>
      </c>
      <c r="B2" s="935"/>
      <c r="C2" s="935"/>
      <c r="D2" s="935"/>
      <c r="E2" s="514"/>
    </row>
    <row r="3" spans="1:5" ht="21" thickBot="1" x14ac:dyDescent="0.35">
      <c r="A3" s="936"/>
      <c r="B3" s="937"/>
      <c r="C3" s="937"/>
      <c r="D3" s="937"/>
      <c r="E3" s="515"/>
    </row>
    <row r="4" spans="1:5" ht="16.5" thickBot="1" x14ac:dyDescent="0.3">
      <c r="A4" s="938"/>
      <c r="B4" s="939"/>
      <c r="C4" s="496" t="s">
        <v>398</v>
      </c>
      <c r="D4" s="497" t="s">
        <v>559</v>
      </c>
      <c r="E4" s="498" t="s">
        <v>399</v>
      </c>
    </row>
    <row r="5" spans="1:5" ht="15.75" thickBot="1" x14ac:dyDescent="0.25">
      <c r="A5" s="432" t="s">
        <v>445</v>
      </c>
      <c r="B5" s="436" t="s">
        <v>444</v>
      </c>
      <c r="C5" s="508">
        <f>'Total Project Estimate (PDF ME)'!G5</f>
        <v>0</v>
      </c>
      <c r="D5" s="509">
        <f>SUM(D7:D10,D12:D21)</f>
        <v>0</v>
      </c>
      <c r="E5" s="510">
        <f>C5+D5</f>
        <v>0</v>
      </c>
    </row>
    <row r="6" spans="1:5" x14ac:dyDescent="0.2">
      <c r="A6" s="467" t="s">
        <v>407</v>
      </c>
      <c r="B6" s="511" t="s">
        <v>401</v>
      </c>
      <c r="C6" s="501"/>
      <c r="D6" s="500"/>
      <c r="E6" s="502"/>
    </row>
    <row r="7" spans="1:5" x14ac:dyDescent="0.2">
      <c r="A7" s="484"/>
      <c r="B7" s="485" t="s">
        <v>480</v>
      </c>
      <c r="C7" s="503">
        <f>'Total Project Estimate (PDF ME)'!E7</f>
        <v>0</v>
      </c>
      <c r="D7" s="516">
        <f>'Estimate Template'!F107*'Funding Increase Worksheet'!D23</f>
        <v>0</v>
      </c>
      <c r="E7" s="504">
        <f t="shared" ref="E7:E50" si="0">C7+D7</f>
        <v>0</v>
      </c>
    </row>
    <row r="8" spans="1:5" x14ac:dyDescent="0.2">
      <c r="A8" s="484"/>
      <c r="B8" s="485" t="s">
        <v>397</v>
      </c>
      <c r="C8" s="503">
        <f>'Total Project Estimate (PDF ME)'!E8</f>
        <v>0</v>
      </c>
      <c r="D8" s="516">
        <v>0</v>
      </c>
      <c r="E8" s="504">
        <f t="shared" si="0"/>
        <v>0</v>
      </c>
    </row>
    <row r="9" spans="1:5" x14ac:dyDescent="0.2">
      <c r="A9" s="484"/>
      <c r="B9" s="485" t="s">
        <v>117</v>
      </c>
      <c r="C9" s="503">
        <f>'Total Project Estimate (PDF ME)'!E9</f>
        <v>0</v>
      </c>
      <c r="D9" s="516">
        <v>0</v>
      </c>
      <c r="E9" s="504">
        <f t="shared" si="0"/>
        <v>0</v>
      </c>
    </row>
    <row r="10" spans="1:5" x14ac:dyDescent="0.2">
      <c r="A10" s="484"/>
      <c r="B10" s="485" t="s">
        <v>439</v>
      </c>
      <c r="C10" s="503">
        <f>'Total Project Estimate (PDF ME)'!E10</f>
        <v>0</v>
      </c>
      <c r="D10" s="516">
        <v>0</v>
      </c>
      <c r="E10" s="504">
        <f t="shared" si="0"/>
        <v>0</v>
      </c>
    </row>
    <row r="11" spans="1:5" x14ac:dyDescent="0.2">
      <c r="A11" s="429" t="s">
        <v>408</v>
      </c>
      <c r="B11" s="430" t="s">
        <v>414</v>
      </c>
      <c r="C11" s="503"/>
      <c r="D11" s="499"/>
      <c r="E11" s="504"/>
    </row>
    <row r="12" spans="1:5" x14ac:dyDescent="0.2">
      <c r="A12" s="484"/>
      <c r="B12" s="485" t="s">
        <v>440</v>
      </c>
      <c r="C12" s="503">
        <f>'Total Project Estimate (PDF ME)'!E12</f>
        <v>0</v>
      </c>
      <c r="D12" s="516">
        <v>0</v>
      </c>
      <c r="E12" s="504">
        <f t="shared" si="0"/>
        <v>0</v>
      </c>
    </row>
    <row r="13" spans="1:5" x14ac:dyDescent="0.2">
      <c r="A13" s="484"/>
      <c r="B13" s="485" t="s">
        <v>446</v>
      </c>
      <c r="C13" s="503">
        <f>'Total Project Estimate (PDF ME)'!E13</f>
        <v>0</v>
      </c>
      <c r="D13" s="516">
        <v>0</v>
      </c>
      <c r="E13" s="504">
        <f t="shared" si="0"/>
        <v>0</v>
      </c>
    </row>
    <row r="14" spans="1:5" x14ac:dyDescent="0.2">
      <c r="A14" s="484"/>
      <c r="B14" s="485" t="s">
        <v>441</v>
      </c>
      <c r="C14" s="503">
        <f>'Total Project Estimate (PDF ME)'!E14</f>
        <v>0</v>
      </c>
      <c r="D14" s="516">
        <v>0</v>
      </c>
      <c r="E14" s="504">
        <f t="shared" si="0"/>
        <v>0</v>
      </c>
    </row>
    <row r="15" spans="1:5" x14ac:dyDescent="0.2">
      <c r="A15" s="484"/>
      <c r="B15" s="485" t="s">
        <v>442</v>
      </c>
      <c r="C15" s="503">
        <f>'Total Project Estimate (PDF ME)'!E15</f>
        <v>0</v>
      </c>
      <c r="D15" s="516">
        <v>0</v>
      </c>
      <c r="E15" s="504">
        <f t="shared" si="0"/>
        <v>0</v>
      </c>
    </row>
    <row r="16" spans="1:5" x14ac:dyDescent="0.2">
      <c r="A16" s="484"/>
      <c r="B16" s="485" t="s">
        <v>443</v>
      </c>
      <c r="C16" s="503">
        <f>'Total Project Estimate (PDF ME)'!E16</f>
        <v>0</v>
      </c>
      <c r="D16" s="516">
        <v>0</v>
      </c>
      <c r="E16" s="504">
        <f t="shared" si="0"/>
        <v>0</v>
      </c>
    </row>
    <row r="17" spans="1:5" x14ac:dyDescent="0.2">
      <c r="A17" s="489" t="s">
        <v>409</v>
      </c>
      <c r="B17" s="495" t="s">
        <v>79</v>
      </c>
      <c r="C17" s="503">
        <f>'Total Project Estimate (PDF ME)'!E17</f>
        <v>0</v>
      </c>
      <c r="D17" s="516">
        <v>0</v>
      </c>
      <c r="E17" s="504">
        <f t="shared" si="0"/>
        <v>0</v>
      </c>
    </row>
    <row r="18" spans="1:5" x14ac:dyDescent="0.2">
      <c r="A18" s="489" t="s">
        <v>410</v>
      </c>
      <c r="B18" s="495" t="s">
        <v>415</v>
      </c>
      <c r="C18" s="503">
        <f>'Total Project Estimate (PDF ME)'!E18</f>
        <v>0</v>
      </c>
      <c r="D18" s="516">
        <v>0</v>
      </c>
      <c r="E18" s="504">
        <f t="shared" si="0"/>
        <v>0</v>
      </c>
    </row>
    <row r="19" spans="1:5" x14ac:dyDescent="0.2">
      <c r="A19" s="489" t="s">
        <v>411</v>
      </c>
      <c r="B19" s="495" t="s">
        <v>416</v>
      </c>
      <c r="C19" s="503">
        <f>'Total Project Estimate (PDF ME)'!E19</f>
        <v>0</v>
      </c>
      <c r="D19" s="516">
        <v>0</v>
      </c>
      <c r="E19" s="504">
        <f t="shared" si="0"/>
        <v>0</v>
      </c>
    </row>
    <row r="20" spans="1:5" x14ac:dyDescent="0.2">
      <c r="A20" s="489" t="s">
        <v>412</v>
      </c>
      <c r="B20" s="495" t="s">
        <v>417</v>
      </c>
      <c r="C20" s="503">
        <f>'Total Project Estimate (PDF ME)'!E20</f>
        <v>0</v>
      </c>
      <c r="D20" s="516">
        <v>0</v>
      </c>
      <c r="E20" s="504">
        <f t="shared" si="0"/>
        <v>0</v>
      </c>
    </row>
    <row r="21" spans="1:5" ht="15.75" thickBot="1" x14ac:dyDescent="0.25">
      <c r="A21" s="429" t="s">
        <v>413</v>
      </c>
      <c r="B21" s="433" t="s">
        <v>418</v>
      </c>
      <c r="C21" s="505">
        <f>'Total Project Estimate (PDF ME)'!E21</f>
        <v>0</v>
      </c>
      <c r="D21" s="517">
        <v>0</v>
      </c>
      <c r="E21" s="506">
        <f t="shared" si="0"/>
        <v>0</v>
      </c>
    </row>
    <row r="22" spans="1:5" ht="15.75" thickBot="1" x14ac:dyDescent="0.25">
      <c r="A22" s="432" t="s">
        <v>447</v>
      </c>
      <c r="B22" s="436" t="s">
        <v>363</v>
      </c>
      <c r="C22" s="508">
        <f>'Total Project Estimate (PDF ME)'!G22</f>
        <v>0</v>
      </c>
      <c r="D22" s="512">
        <f>SUM(D23:D32)</f>
        <v>0</v>
      </c>
      <c r="E22" s="510">
        <f t="shared" si="0"/>
        <v>0</v>
      </c>
    </row>
    <row r="23" spans="1:5" x14ac:dyDescent="0.2">
      <c r="A23" s="467" t="s">
        <v>419</v>
      </c>
      <c r="B23" s="468" t="s">
        <v>485</v>
      </c>
      <c r="C23" s="501">
        <f>'Total Project Estimate (PDF ME)'!F23</f>
        <v>0</v>
      </c>
      <c r="D23" s="507">
        <v>0</v>
      </c>
      <c r="E23" s="502">
        <f t="shared" si="0"/>
        <v>0</v>
      </c>
    </row>
    <row r="24" spans="1:5" x14ac:dyDescent="0.2">
      <c r="A24" s="467"/>
      <c r="B24" s="468" t="s">
        <v>463</v>
      </c>
      <c r="C24" s="503">
        <f>'Total Project Estimate (PDF ME)'!E24</f>
        <v>0</v>
      </c>
      <c r="D24" s="516">
        <v>0</v>
      </c>
      <c r="E24" s="504">
        <f t="shared" si="0"/>
        <v>0</v>
      </c>
    </row>
    <row r="25" spans="1:5" x14ac:dyDescent="0.2">
      <c r="A25" s="467"/>
      <c r="B25" s="468" t="s">
        <v>235</v>
      </c>
      <c r="C25" s="503">
        <f>'Total Project Estimate (PDF ME)'!E25</f>
        <v>0</v>
      </c>
      <c r="D25" s="516">
        <v>0</v>
      </c>
      <c r="E25" s="504">
        <f t="shared" si="0"/>
        <v>0</v>
      </c>
    </row>
    <row r="26" spans="1:5" x14ac:dyDescent="0.2">
      <c r="A26" s="467"/>
      <c r="B26" s="468" t="s">
        <v>234</v>
      </c>
      <c r="C26" s="503">
        <f>'Total Project Estimate (PDF ME)'!E27</f>
        <v>0</v>
      </c>
      <c r="D26" s="516">
        <v>0</v>
      </c>
      <c r="E26" s="504">
        <f t="shared" si="0"/>
        <v>0</v>
      </c>
    </row>
    <row r="27" spans="1:5" x14ac:dyDescent="0.2">
      <c r="A27" s="467"/>
      <c r="B27" s="468" t="s">
        <v>68</v>
      </c>
      <c r="C27" s="503">
        <f>'Total Project Estimate (PDF ME)'!E28</f>
        <v>0</v>
      </c>
      <c r="D27" s="516">
        <v>0</v>
      </c>
      <c r="E27" s="504">
        <f t="shared" si="0"/>
        <v>0</v>
      </c>
    </row>
    <row r="28" spans="1:5" x14ac:dyDescent="0.2">
      <c r="A28" s="467"/>
      <c r="B28" s="468" t="s">
        <v>21</v>
      </c>
      <c r="C28" s="503">
        <f>'Total Project Estimate (PDF ME)'!E29</f>
        <v>0</v>
      </c>
      <c r="D28" s="516">
        <v>0</v>
      </c>
      <c r="E28" s="504">
        <f t="shared" si="0"/>
        <v>0</v>
      </c>
    </row>
    <row r="29" spans="1:5" x14ac:dyDescent="0.2">
      <c r="A29" s="467"/>
      <c r="B29" s="468" t="s">
        <v>21</v>
      </c>
      <c r="C29" s="503">
        <f>'Total Project Estimate (PDF ME)'!E30</f>
        <v>0</v>
      </c>
      <c r="D29" s="516">
        <v>0</v>
      </c>
      <c r="E29" s="504">
        <f t="shared" si="0"/>
        <v>0</v>
      </c>
    </row>
    <row r="30" spans="1:5" x14ac:dyDescent="0.2">
      <c r="A30" s="467"/>
      <c r="B30" s="468" t="s">
        <v>21</v>
      </c>
      <c r="C30" s="503">
        <f>'Total Project Estimate (PDF ME)'!E31</f>
        <v>0</v>
      </c>
      <c r="D30" s="516">
        <v>0</v>
      </c>
      <c r="E30" s="504">
        <f t="shared" si="0"/>
        <v>0</v>
      </c>
    </row>
    <row r="31" spans="1:5" x14ac:dyDescent="0.2">
      <c r="A31" s="467" t="s">
        <v>420</v>
      </c>
      <c r="B31" s="468" t="s">
        <v>455</v>
      </c>
      <c r="C31" s="503">
        <f>'Total Project Estimate (PDF ME)'!E32</f>
        <v>0</v>
      </c>
      <c r="D31" s="516">
        <v>0</v>
      </c>
      <c r="E31" s="504">
        <f t="shared" si="0"/>
        <v>0</v>
      </c>
    </row>
    <row r="32" spans="1:5" ht="15.75" thickBot="1" x14ac:dyDescent="0.25">
      <c r="A32" s="429" t="s">
        <v>421</v>
      </c>
      <c r="B32" s="431" t="s">
        <v>481</v>
      </c>
      <c r="C32" s="505">
        <f>'Total Project Estimate (PDF ME)'!E33</f>
        <v>0</v>
      </c>
      <c r="D32" s="517">
        <f>0.02*D23</f>
        <v>0</v>
      </c>
      <c r="E32" s="506">
        <f t="shared" si="0"/>
        <v>0</v>
      </c>
    </row>
    <row r="33" spans="1:5" ht="15.75" thickBot="1" x14ac:dyDescent="0.25">
      <c r="A33" s="432" t="s">
        <v>449</v>
      </c>
      <c r="B33" s="436" t="s">
        <v>422</v>
      </c>
      <c r="C33" s="508">
        <f>'Total Project Estimate (PDF ME)'!G34</f>
        <v>0</v>
      </c>
      <c r="D33" s="509">
        <f>SUM(D34:D37)</f>
        <v>0</v>
      </c>
      <c r="E33" s="510">
        <f t="shared" si="0"/>
        <v>0</v>
      </c>
    </row>
    <row r="34" spans="1:5" x14ac:dyDescent="0.2">
      <c r="A34" s="467" t="s">
        <v>423</v>
      </c>
      <c r="B34" s="468" t="s">
        <v>427</v>
      </c>
      <c r="C34" s="501">
        <f>'Total Project Estimate (PDF ME)'!F35</f>
        <v>0</v>
      </c>
      <c r="D34" s="518">
        <v>0</v>
      </c>
      <c r="E34" s="502">
        <f t="shared" si="0"/>
        <v>0</v>
      </c>
    </row>
    <row r="35" spans="1:5" x14ac:dyDescent="0.2">
      <c r="A35" s="467" t="s">
        <v>424</v>
      </c>
      <c r="B35" s="468" t="s">
        <v>95</v>
      </c>
      <c r="C35" s="503">
        <f>'Total Project Estimate (PDF ME)'!F36</f>
        <v>0</v>
      </c>
      <c r="D35" s="516">
        <v>0</v>
      </c>
      <c r="E35" s="504">
        <f t="shared" si="0"/>
        <v>0</v>
      </c>
    </row>
    <row r="36" spans="1:5" x14ac:dyDescent="0.2">
      <c r="A36" s="467" t="s">
        <v>425</v>
      </c>
      <c r="B36" s="468" t="s">
        <v>70</v>
      </c>
      <c r="C36" s="503">
        <f>'Total Project Estimate (PDF ME)'!F37</f>
        <v>0</v>
      </c>
      <c r="D36" s="516">
        <v>0</v>
      </c>
      <c r="E36" s="504">
        <f t="shared" si="0"/>
        <v>0</v>
      </c>
    </row>
    <row r="37" spans="1:5" ht="15.75" thickBot="1" x14ac:dyDescent="0.25">
      <c r="A37" s="429" t="s">
        <v>426</v>
      </c>
      <c r="B37" s="431" t="s">
        <v>428</v>
      </c>
      <c r="C37" s="505">
        <f>'Total Project Estimate (PDF ME)'!F38</f>
        <v>0</v>
      </c>
      <c r="D37" s="517">
        <v>0</v>
      </c>
      <c r="E37" s="506">
        <f t="shared" si="0"/>
        <v>0</v>
      </c>
    </row>
    <row r="38" spans="1:5" ht="15.75" thickBot="1" x14ac:dyDescent="0.25">
      <c r="A38" s="432" t="s">
        <v>450</v>
      </c>
      <c r="B38" s="436" t="s">
        <v>429</v>
      </c>
      <c r="C38" s="508">
        <f>'Total Project Estimate (PDF ME)'!G40</f>
        <v>0</v>
      </c>
      <c r="D38" s="509">
        <v>0</v>
      </c>
      <c r="E38" s="510">
        <f t="shared" si="0"/>
        <v>0</v>
      </c>
    </row>
    <row r="39" spans="1:5" ht="15.75" thickBot="1" x14ac:dyDescent="0.25">
      <c r="A39" s="432" t="s">
        <v>451</v>
      </c>
      <c r="B39" s="436" t="s">
        <v>448</v>
      </c>
      <c r="C39" s="508">
        <f>'Total Project Estimate (PDF ME)'!G41</f>
        <v>0</v>
      </c>
      <c r="D39" s="519">
        <v>0</v>
      </c>
      <c r="E39" s="510">
        <f t="shared" si="0"/>
        <v>0</v>
      </c>
    </row>
    <row r="40" spans="1:5" ht="15.75" thickBot="1" x14ac:dyDescent="0.25">
      <c r="A40" s="432" t="s">
        <v>452</v>
      </c>
      <c r="B40" s="436" t="s">
        <v>453</v>
      </c>
      <c r="C40" s="508">
        <f>'Total Project Estimate (PDF ME)'!G42</f>
        <v>0</v>
      </c>
      <c r="D40" s="509">
        <f>SUM(D41:D46)</f>
        <v>0</v>
      </c>
      <c r="E40" s="510">
        <f>C40+D40</f>
        <v>0</v>
      </c>
    </row>
    <row r="41" spans="1:5" x14ac:dyDescent="0.2">
      <c r="A41" s="467" t="s">
        <v>482</v>
      </c>
      <c r="B41" s="468" t="s">
        <v>403</v>
      </c>
      <c r="C41" s="501">
        <f>'Total Project Estimate (PDF ME)'!F43</f>
        <v>0</v>
      </c>
      <c r="D41" s="518">
        <f>IF(D52="Tiered",(SUM(D5,D22,D33,D38,D39,D42:D45,D47)*0.015),IF('Estimate Template'!D65&gt;0,0.015*D22,IF('Estimate Template'!H127=500,(0.02*('Estimate Template'!H127+SUM(D5,D33,D39,D42:D45,D47))-500),0.02*SUM(D5,D22,D33,D39,D42:D45,D47))))</f>
        <v>0</v>
      </c>
      <c r="E41" s="502">
        <f t="shared" si="0"/>
        <v>0</v>
      </c>
    </row>
    <row r="42" spans="1:5" x14ac:dyDescent="0.2">
      <c r="A42" s="467" t="s">
        <v>483</v>
      </c>
      <c r="B42" s="468" t="s">
        <v>431</v>
      </c>
      <c r="C42" s="503">
        <f>'Total Project Estimate (PDF ME)'!F44</f>
        <v>0</v>
      </c>
      <c r="D42" s="516">
        <v>0</v>
      </c>
      <c r="E42" s="504">
        <f t="shared" si="0"/>
        <v>0</v>
      </c>
    </row>
    <row r="43" spans="1:5" x14ac:dyDescent="0.2">
      <c r="A43" s="467" t="s">
        <v>484</v>
      </c>
      <c r="B43" s="468" t="s">
        <v>30</v>
      </c>
      <c r="C43" s="503">
        <f>'Total Project Estimate (PDF ME)'!F45</f>
        <v>0</v>
      </c>
      <c r="D43" s="516">
        <v>0</v>
      </c>
      <c r="E43" s="504">
        <f t="shared" si="0"/>
        <v>0</v>
      </c>
    </row>
    <row r="44" spans="1:5" x14ac:dyDescent="0.2">
      <c r="A44" s="467" t="s">
        <v>430</v>
      </c>
      <c r="B44" s="468" t="s">
        <v>611</v>
      </c>
      <c r="C44" s="503">
        <f>'Total Project Estimate (PDF ME)'!F46</f>
        <v>0</v>
      </c>
      <c r="D44" s="516">
        <v>0</v>
      </c>
      <c r="E44" s="504">
        <f>C44+D44</f>
        <v>0</v>
      </c>
    </row>
    <row r="45" spans="1:5" x14ac:dyDescent="0.2">
      <c r="A45" s="467" t="s">
        <v>610</v>
      </c>
      <c r="B45" s="468" t="s">
        <v>432</v>
      </c>
      <c r="C45" s="503">
        <f>'Total Project Estimate (PDF ME)'!F47</f>
        <v>0</v>
      </c>
      <c r="D45" s="516">
        <v>0</v>
      </c>
      <c r="E45" s="504">
        <f>C45+D45</f>
        <v>0</v>
      </c>
    </row>
    <row r="46" spans="1:5" ht="15.75" thickBot="1" x14ac:dyDescent="0.25">
      <c r="A46" s="429" t="s">
        <v>605</v>
      </c>
      <c r="B46" s="431" t="s">
        <v>609</v>
      </c>
      <c r="C46" s="505">
        <f>'Total Project Estimate (PDF ME)'!F48</f>
        <v>0</v>
      </c>
      <c r="D46" s="517">
        <v>0</v>
      </c>
      <c r="E46" s="506">
        <f>C46+D46</f>
        <v>0</v>
      </c>
    </row>
    <row r="47" spans="1:5" ht="15.75" thickBot="1" x14ac:dyDescent="0.25">
      <c r="A47" s="432" t="s">
        <v>454</v>
      </c>
      <c r="B47" s="436" t="s">
        <v>94</v>
      </c>
      <c r="C47" s="508">
        <f>'Total Project Estimate (PDF ME)'!G49</f>
        <v>0</v>
      </c>
      <c r="D47" s="509">
        <f>SUM(D48:D50)</f>
        <v>0</v>
      </c>
      <c r="E47" s="510">
        <f t="shared" si="0"/>
        <v>0</v>
      </c>
    </row>
    <row r="48" spans="1:5" x14ac:dyDescent="0.2">
      <c r="A48" s="467" t="s">
        <v>433</v>
      </c>
      <c r="B48" s="468" t="s">
        <v>436</v>
      </c>
      <c r="C48" s="501">
        <f>'Total Project Estimate (PDF ME)'!F50</f>
        <v>0</v>
      </c>
      <c r="D48" s="518">
        <f>'Estimate Template'!F134*D22</f>
        <v>0</v>
      </c>
      <c r="E48" s="502">
        <f t="shared" si="0"/>
        <v>0</v>
      </c>
    </row>
    <row r="49" spans="1:5" x14ac:dyDescent="0.2">
      <c r="A49" s="467" t="s">
        <v>434</v>
      </c>
      <c r="B49" s="468" t="s">
        <v>437</v>
      </c>
      <c r="C49" s="503">
        <f>'Total Project Estimate (PDF ME)'!F51</f>
        <v>0</v>
      </c>
      <c r="D49" s="516">
        <f>'Estimate Template'!F135*D22</f>
        <v>0</v>
      </c>
      <c r="E49" s="504">
        <f t="shared" si="0"/>
        <v>0</v>
      </c>
    </row>
    <row r="50" spans="1:5" ht="15.75" thickBot="1" x14ac:dyDescent="0.25">
      <c r="A50" s="429" t="s">
        <v>435</v>
      </c>
      <c r="B50" s="431" t="s">
        <v>438</v>
      </c>
      <c r="C50" s="503">
        <f>'Total Project Estimate (PDF ME)'!F52</f>
        <v>0</v>
      </c>
      <c r="D50" s="516">
        <f>'Estimate Template'!F136*D22</f>
        <v>0</v>
      </c>
      <c r="E50" s="504">
        <f t="shared" si="0"/>
        <v>0</v>
      </c>
    </row>
    <row r="51" spans="1:5" ht="18.75" thickBot="1" x14ac:dyDescent="0.25">
      <c r="A51" s="432"/>
      <c r="B51" s="436" t="s">
        <v>461</v>
      </c>
      <c r="C51" s="508">
        <f>SUM('Below The Line'!B26,,'Below The Line'!B33,'Below The Line'!B42,'Below The Line'!B51)</f>
        <v>0</v>
      </c>
      <c r="D51" s="512">
        <f>SUM('Below The Line'!F27,'Below The Line'!F34,'Below The Line'!F43,'Below The Line'!F52)-SUM('Below The Line'!B26,'Below The Line'!B33,'Below The Line'!B42,'Below The Line'!B51)</f>
        <v>0</v>
      </c>
      <c r="E51" s="510">
        <f>C51+D51</f>
        <v>0</v>
      </c>
    </row>
    <row r="52" spans="1:5" ht="15.75" thickBot="1" x14ac:dyDescent="0.25">
      <c r="D52" s="785" t="str">
        <f>IF(D67&gt;0,0.015,IF(SUM(C5,C22,C33,C38,C42:C45,C47)*0.015&lt;500,"Fixed",IF(SUM(C5,C22,C33,C38,C42:C45,C47)&gt;20000000,"Tiered",0.02)))</f>
        <v>Fixed</v>
      </c>
    </row>
    <row r="53" spans="1:5" ht="18.75" thickBot="1" x14ac:dyDescent="0.25">
      <c r="B53" s="493" t="s">
        <v>359</v>
      </c>
      <c r="C53" s="494">
        <f>C5+C22+C33+C38+C39+C40+C47</f>
        <v>0</v>
      </c>
      <c r="D53" s="494">
        <f>D5+D22+D33+D38+D39+D40+D47</f>
        <v>0</v>
      </c>
      <c r="E53" s="687">
        <f>C53+D53</f>
        <v>0</v>
      </c>
    </row>
    <row r="54" spans="1:5" ht="18.75" thickBot="1" x14ac:dyDescent="0.25">
      <c r="B54" s="493" t="s">
        <v>360</v>
      </c>
      <c r="C54" s="494">
        <f>C53+C51</f>
        <v>0</v>
      </c>
      <c r="D54" s="494">
        <f>D53+D51</f>
        <v>0</v>
      </c>
      <c r="E54" s="687">
        <f t="shared" ref="E54" si="1">C54+D54</f>
        <v>0</v>
      </c>
    </row>
    <row r="57" spans="1:5" x14ac:dyDescent="0.2">
      <c r="D57" s="786"/>
    </row>
  </sheetData>
  <autoFilter ref="A4:E51" xr:uid="{71FE1991-2E25-47C3-9251-FBB1C7627F09}">
    <filterColumn colId="0" showButton="0"/>
  </autoFilter>
  <dataConsolidate/>
  <mergeCells count="4">
    <mergeCell ref="A1:D1"/>
    <mergeCell ref="A2:D2"/>
    <mergeCell ref="A3:D3"/>
    <mergeCell ref="A4:B4"/>
  </mergeCells>
  <dataValidations disablePrompts="1" count="1">
    <dataValidation allowBlank="1" showInputMessage="1" showErrorMessage="1" promptTitle="Change Management" prompt="If your total increase is over $200,000 change management is required." sqref="D23" xr:uid="{098843CF-E628-46F0-9030-1B7C0D0B0621}"/>
  </dataValidations>
  <pageMargins left="0.7" right="0.7" top="0.75" bottom="0.75" header="0.3" footer="0.3"/>
  <pageSetup scale="71" fitToWidth="0" fitToHeight="0" orientation="portrait" r:id="rId1"/>
  <headerFooter>
    <oddHeader>&amp;L&amp;"-,Regular"Printed: &amp;D @ &amp;T&amp;R&amp;"-,Regular"Page &amp;P of &amp;N</oddHeader>
    <oddFooter>&amp;L&amp;"-,Regular"&amp;F&amp;C&amp;"-,Regular"&amp;A&amp;R&amp;"-,Regular"Budget Version 2019</oddFooter>
  </headerFooter>
  <ignoredErrors>
    <ignoredError sqref="D5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outlinePr summaryBelow="0"/>
    <pageSetUpPr fitToPage="1"/>
  </sheetPr>
  <dimension ref="A1:M399"/>
  <sheetViews>
    <sheetView topLeftCell="A14" zoomScale="70" zoomScaleNormal="70" zoomScaleSheetLayoutView="40" zoomScalePageLayoutView="87" workbookViewId="0">
      <selection activeCell="G41" sqref="G41"/>
    </sheetView>
  </sheetViews>
  <sheetFormatPr defaultColWidth="9.140625" defaultRowHeight="15.95" customHeight="1" x14ac:dyDescent="0.35"/>
  <cols>
    <col min="1" max="1" width="18.85546875" style="56" customWidth="1"/>
    <col min="2" max="2" width="36.28515625" style="56" customWidth="1"/>
    <col min="3" max="3" width="34.28515625" style="56" customWidth="1"/>
    <col min="4" max="5" width="37.42578125" style="56" customWidth="1"/>
    <col min="6" max="6" width="3.42578125" style="56" customWidth="1"/>
    <col min="7" max="7" width="37.42578125" style="57" customWidth="1"/>
    <col min="8" max="8" width="18.85546875" style="56" customWidth="1"/>
    <col min="9" max="9" width="34.42578125" style="56" customWidth="1"/>
    <col min="10" max="10" width="15.7109375" style="56" customWidth="1"/>
    <col min="11" max="11" width="13" style="56" bestFit="1" customWidth="1"/>
    <col min="12" max="12" width="49.42578125" style="56" customWidth="1"/>
    <col min="13" max="13" width="10.42578125" style="74" customWidth="1"/>
    <col min="14" max="14" width="18" style="56" bestFit="1" customWidth="1"/>
    <col min="15" max="15" width="22.7109375" style="56" bestFit="1" customWidth="1"/>
    <col min="16" max="16" width="23.28515625" style="56" bestFit="1" customWidth="1"/>
    <col min="17" max="17" width="25.140625" style="56" bestFit="1" customWidth="1"/>
    <col min="18" max="18" width="16.42578125" style="56" bestFit="1" customWidth="1"/>
    <col min="19" max="16384" width="9.140625" style="56"/>
  </cols>
  <sheetData>
    <row r="1" spans="1:13" s="80" customFormat="1" ht="16.5" hidden="1" thickBot="1" x14ac:dyDescent="0.3">
      <c r="A1" s="132"/>
      <c r="C1" s="133"/>
      <c r="D1" s="131"/>
      <c r="E1" s="48"/>
      <c r="F1" s="48"/>
    </row>
    <row r="2" spans="1:13" ht="21" x14ac:dyDescent="0.35">
      <c r="A2" s="955" t="e">
        <f>'Total Project Estimate (PDF ME)'!#REF!</f>
        <v>#REF!</v>
      </c>
      <c r="B2" s="956"/>
      <c r="C2" s="320"/>
      <c r="D2" s="133"/>
      <c r="E2" s="58"/>
      <c r="F2" s="58"/>
      <c r="G2" s="317"/>
      <c r="H2" s="318"/>
    </row>
    <row r="3" spans="1:13" ht="21" x14ac:dyDescent="0.35">
      <c r="A3" s="957" t="s">
        <v>236</v>
      </c>
      <c r="B3" s="957"/>
      <c r="C3"/>
      <c r="D3" s="58"/>
      <c r="E3" s="58"/>
      <c r="F3" s="58"/>
    </row>
    <row r="4" spans="1:13" ht="21" x14ac:dyDescent="0.35">
      <c r="A4" s="321" t="s">
        <v>97</v>
      </c>
      <c r="B4" s="942"/>
      <c r="C4" s="942"/>
    </row>
    <row r="5" spans="1:13" ht="21" x14ac:dyDescent="0.35">
      <c r="A5" s="321" t="s">
        <v>66</v>
      </c>
      <c r="B5" s="942"/>
      <c r="C5" s="942"/>
    </row>
    <row r="6" spans="1:13" ht="21" x14ac:dyDescent="0.35">
      <c r="A6" s="321" t="s">
        <v>67</v>
      </c>
      <c r="B6" s="942"/>
      <c r="C6" s="942"/>
    </row>
    <row r="7" spans="1:13" ht="21" x14ac:dyDescent="0.35">
      <c r="A7" s="321"/>
      <c r="B7" s="295"/>
      <c r="C7" s="295"/>
    </row>
    <row r="8" spans="1:13" ht="10.5" customHeight="1" thickBot="1" x14ac:dyDescent="0.4">
      <c r="B8" s="58"/>
    </row>
    <row r="9" spans="1:13" ht="21.75" thickBot="1" x14ac:dyDescent="0.4">
      <c r="D9" s="382"/>
      <c r="E9" s="382"/>
      <c r="G9" s="336" t="s">
        <v>313</v>
      </c>
    </row>
    <row r="10" spans="1:13" ht="21" x14ac:dyDescent="0.35">
      <c r="B10" s="248" t="s">
        <v>231</v>
      </c>
      <c r="C10" s="245" t="s">
        <v>80</v>
      </c>
      <c r="D10" s="949" t="s">
        <v>80</v>
      </c>
      <c r="E10" s="382"/>
      <c r="G10" s="356"/>
    </row>
    <row r="11" spans="1:13" ht="21.75" thickBot="1" x14ac:dyDescent="0.4">
      <c r="B11" s="334" t="s">
        <v>305</v>
      </c>
      <c r="C11" s="335">
        <v>0</v>
      </c>
      <c r="D11" s="950"/>
      <c r="E11" s="382"/>
      <c r="G11" s="365" t="s">
        <v>352</v>
      </c>
    </row>
    <row r="12" spans="1:13" ht="21.75" thickBot="1" x14ac:dyDescent="0.4">
      <c r="B12" s="332" t="s">
        <v>309</v>
      </c>
      <c r="C12" s="333">
        <v>0</v>
      </c>
      <c r="D12" s="387" t="s">
        <v>304</v>
      </c>
      <c r="G12" s="355">
        <v>1</v>
      </c>
    </row>
    <row r="13" spans="1:13" ht="21.75" thickBot="1" x14ac:dyDescent="0.4">
      <c r="C13" s="57"/>
      <c r="E13" s="77"/>
      <c r="G13" s="365" t="s">
        <v>362</v>
      </c>
    </row>
    <row r="14" spans="1:13" ht="21" x14ac:dyDescent="0.35">
      <c r="A14" s="317"/>
      <c r="B14" s="350" t="s">
        <v>98</v>
      </c>
      <c r="C14" s="244" t="s">
        <v>240</v>
      </c>
      <c r="D14" s="244" t="s">
        <v>122</v>
      </c>
      <c r="E14" s="245" t="s">
        <v>303</v>
      </c>
      <c r="F14" s="265"/>
      <c r="G14" s="355">
        <v>1</v>
      </c>
      <c r="H14" s="319"/>
      <c r="I14" s="319"/>
      <c r="M14" s="56"/>
    </row>
    <row r="15" spans="1:13" ht="21" x14ac:dyDescent="0.35">
      <c r="B15" s="351" t="s">
        <v>230</v>
      </c>
      <c r="C15" s="243">
        <v>1</v>
      </c>
      <c r="D15" s="243">
        <v>0</v>
      </c>
      <c r="E15" s="246">
        <v>0</v>
      </c>
      <c r="F15" s="266"/>
      <c r="G15" s="365" t="s">
        <v>353</v>
      </c>
      <c r="J15" s="322"/>
      <c r="M15" s="56"/>
    </row>
    <row r="16" spans="1:13" ht="21" x14ac:dyDescent="0.35">
      <c r="A16" s="317"/>
      <c r="B16" s="337" t="s">
        <v>100</v>
      </c>
      <c r="C16" s="242" t="str">
        <f>IF(C10="New Construction", "New","Med")</f>
        <v>New</v>
      </c>
      <c r="D16" s="242" t="str">
        <f>IF(C10="New Construction", "New","Med")</f>
        <v>New</v>
      </c>
      <c r="E16" s="247" t="str">
        <f>IF(C10="New Construction", "New","Med")</f>
        <v>New</v>
      </c>
      <c r="F16" s="265"/>
      <c r="G16" s="355">
        <v>1</v>
      </c>
      <c r="M16" s="56"/>
    </row>
    <row r="17" spans="1:13" ht="21" x14ac:dyDescent="0.35">
      <c r="A17" s="317"/>
      <c r="B17" s="337" t="s">
        <v>307</v>
      </c>
      <c r="C17" s="330">
        <f>IF(C15=0,0,IF(C15&gt;0,IF(C10="New Construction",(VLOOKUP(C14,'Benchmark Cost Per SF'!B32:G47,6,FALSE)),IF(C10="Renovation",VLOOKUP(C14,'Benchmark Cost Per SF'!B32:G47,MATCH(C16,'Benchmark Cost Per SF'!B31:F31,0),FALSE)))))</f>
        <v>316.63499999999999</v>
      </c>
      <c r="D17" s="330">
        <f>IF(D15=0,0,IF(D15&gt;0,IF(C10="New Construction",(VLOOKUP(D14,'Benchmark Cost Per SF'!B32:G47,6,FALSE)),IF(C10="Renovation",VLOOKUP(D14,'Benchmark Cost Per SF'!B32:G47,MATCH(D16,'Benchmark Cost Per SF'!B31:F31,0),FALSE)))))</f>
        <v>0</v>
      </c>
      <c r="E17" s="331">
        <f>IF(E15=0,0,IF(E15&gt;0,IF(C10="New Construction",(VLOOKUP(E14,'Benchmark Cost Per SF'!B32:G47,6,FALSE)),IF(C10="Renovation",VLOOKUP(E14,'Benchmark Cost Per SF'!B32:G47,MATCH(E16,'Benchmark Cost Per SF'!B31:F31,0),FALSE)))))</f>
        <v>0</v>
      </c>
      <c r="F17" s="353"/>
      <c r="G17" s="365" t="s">
        <v>368</v>
      </c>
      <c r="J17" s="57"/>
      <c r="M17" s="56"/>
    </row>
    <row r="18" spans="1:13" ht="21.75" thickBot="1" x14ac:dyDescent="0.4">
      <c r="A18" s="317"/>
      <c r="B18" s="352" t="s">
        <v>232</v>
      </c>
      <c r="C18" s="395">
        <f>IF((C15&gt;1),"% &gt; 100",IF(OR(C14="Parking Garage",C14="Parking Lot"),C12*C15*C17,C11*C15*C17))</f>
        <v>0</v>
      </c>
      <c r="D18" s="395">
        <f>IF(((C15+D15)&gt;1),"% &gt; 100",IF((C15+D15+E15)&lt;1,"% &lt; 100",C11*D15*D17))</f>
        <v>0</v>
      </c>
      <c r="E18" s="396">
        <f>IF(((C15+D15+E15)&gt;1),"% &gt; 100",IF((C15+D15+E15)&lt;1,"% &lt; 100",C11*E15*E17))</f>
        <v>0</v>
      </c>
      <c r="F18" s="354"/>
      <c r="G18" s="355">
        <v>1</v>
      </c>
      <c r="M18" s="56"/>
    </row>
    <row r="19" spans="1:13" ht="21.75" thickBot="1" x14ac:dyDescent="0.4">
      <c r="A19" s="317"/>
      <c r="C19" s="57"/>
      <c r="D19" s="57"/>
      <c r="G19" s="365" t="s">
        <v>354</v>
      </c>
      <c r="M19" s="56"/>
    </row>
    <row r="20" spans="1:13" ht="24" thickBot="1" x14ac:dyDescent="0.4">
      <c r="A20" s="316"/>
      <c r="B20" s="943" t="s">
        <v>375</v>
      </c>
      <c r="C20" s="944"/>
      <c r="D20" s="397">
        <f>IF(C11=0,0,IF(C11&lt;5000,"Use Scoping Tab",IF(C11=0,0,IF(SUM(C15:E15)=1,((SUM(C18:E18)*(AVERAGE(G12,G14,G16,G18,G20)))/C11),"Set % = 100"))))</f>
        <v>0</v>
      </c>
      <c r="E20" s="57"/>
      <c r="F20" s="57"/>
      <c r="G20" s="355">
        <v>1</v>
      </c>
      <c r="M20" s="56"/>
    </row>
    <row r="21" spans="1:13" ht="21.75" thickBot="1" x14ac:dyDescent="0.4">
      <c r="A21" s="316"/>
      <c r="B21" s="384"/>
      <c r="C21" s="385" t="s">
        <v>376</v>
      </c>
      <c r="D21" s="397">
        <f>IF(C12=0,0,VLOOKUP(D12,'Benchmark Cost Per SF'!B32:G47,6,FALSE))</f>
        <v>0</v>
      </c>
      <c r="E21" s="57"/>
      <c r="F21" s="57"/>
      <c r="G21" s="383"/>
      <c r="M21" s="56"/>
    </row>
    <row r="22" spans="1:13" ht="21.75" thickBot="1" x14ac:dyDescent="0.4">
      <c r="A22" s="316"/>
      <c r="B22" s="943" t="s">
        <v>367</v>
      </c>
      <c r="C22" s="944"/>
      <c r="D22" s="397">
        <v>0</v>
      </c>
      <c r="E22" s="57"/>
      <c r="F22" s="57"/>
      <c r="G22" s="383"/>
      <c r="M22" s="56"/>
    </row>
    <row r="23" spans="1:13" ht="21.75" thickBot="1" x14ac:dyDescent="0.4">
      <c r="A23" s="316"/>
      <c r="B23" s="943" t="s">
        <v>367</v>
      </c>
      <c r="C23" s="944"/>
      <c r="D23" s="397">
        <v>0</v>
      </c>
      <c r="E23" s="57"/>
      <c r="F23" s="57"/>
      <c r="G23" s="383"/>
      <c r="M23" s="56"/>
    </row>
    <row r="24" spans="1:13" ht="10.5" customHeight="1" thickBot="1" x14ac:dyDescent="0.4">
      <c r="B24" s="58"/>
    </row>
    <row r="25" spans="1:13" ht="21" x14ac:dyDescent="0.35">
      <c r="B25" s="945" t="s">
        <v>308</v>
      </c>
      <c r="C25" s="946"/>
      <c r="D25" s="951" t="s">
        <v>101</v>
      </c>
      <c r="E25" s="951" t="s">
        <v>377</v>
      </c>
      <c r="F25" s="249"/>
      <c r="G25" s="940" t="s">
        <v>102</v>
      </c>
    </row>
    <row r="26" spans="1:13" ht="21.75" thickBot="1" x14ac:dyDescent="0.4">
      <c r="B26" s="947"/>
      <c r="C26" s="948"/>
      <c r="D26" s="952"/>
      <c r="E26" s="952"/>
      <c r="G26" s="941"/>
    </row>
    <row r="27" spans="1:13" ht="9" customHeight="1" x14ac:dyDescent="0.35">
      <c r="B27" s="359"/>
      <c r="C27" s="360"/>
      <c r="D27" s="361"/>
      <c r="G27" s="362"/>
    </row>
    <row r="28" spans="1:13" ht="21" x14ac:dyDescent="0.35">
      <c r="B28" s="357" t="s">
        <v>81</v>
      </c>
      <c r="C28" s="313"/>
      <c r="D28" s="398">
        <f>IF(AND(C11=0,C12=0),0,IF(AND(D20&gt;0,D22=0, D23=0), D20, (D20+(SUM(D22:D23)/C11))))</f>
        <v>0</v>
      </c>
      <c r="E28" s="398">
        <f>D21</f>
        <v>0</v>
      </c>
      <c r="G28" s="399">
        <f>IF(ISTEXT(D28),E28*C12,((C11*D28)+(C12*E28)))</f>
        <v>0</v>
      </c>
    </row>
    <row r="29" spans="1:13" ht="21" x14ac:dyDescent="0.35">
      <c r="B29" s="75"/>
      <c r="D29" s="316"/>
      <c r="G29" s="327"/>
    </row>
    <row r="30" spans="1:13" ht="21" x14ac:dyDescent="0.35">
      <c r="B30" s="357" t="s">
        <v>355</v>
      </c>
      <c r="C30" s="314"/>
      <c r="D30" s="364">
        <v>0.4</v>
      </c>
      <c r="G30" s="400">
        <f>IF(ISTEXT(D28)," ",G28*D30)</f>
        <v>0</v>
      </c>
    </row>
    <row r="31" spans="1:13" ht="21" x14ac:dyDescent="0.35">
      <c r="B31" s="357" t="s">
        <v>356</v>
      </c>
      <c r="C31" s="314"/>
      <c r="D31" s="364">
        <v>0.15</v>
      </c>
      <c r="G31" s="399">
        <f>IF(ISTEXT(D28)," ",D31*G28)</f>
        <v>0</v>
      </c>
    </row>
    <row r="32" spans="1:13" ht="21" x14ac:dyDescent="0.35">
      <c r="B32" s="357" t="s">
        <v>361</v>
      </c>
      <c r="C32" s="389">
        <f>IF(AND(SUM(G28:G30)&gt;3999999.999,D32=0),0,1)</f>
        <v>1</v>
      </c>
      <c r="D32" s="372">
        <f>IF(ISTEXT(D28)," ",IF((G28+G30)&gt;3999999.99,2%,0%))</f>
        <v>0</v>
      </c>
      <c r="G32" s="399">
        <f>IF(ISTEXT(D28)," ",D32*G28)</f>
        <v>0</v>
      </c>
    </row>
    <row r="33" spans="2:7" ht="21" x14ac:dyDescent="0.35">
      <c r="B33" s="75"/>
      <c r="D33" s="316"/>
      <c r="G33" s="328"/>
    </row>
    <row r="34" spans="2:7" ht="21" x14ac:dyDescent="0.35">
      <c r="B34" s="357" t="s">
        <v>358</v>
      </c>
      <c r="C34" s="313"/>
      <c r="D34" s="358"/>
      <c r="E34" s="313"/>
      <c r="F34" s="314"/>
      <c r="G34" s="399">
        <f>IF(ISTEXT(D28)," ",G28+SUM(G30:G32))</f>
        <v>0</v>
      </c>
    </row>
    <row r="35" spans="2:7" ht="21" x14ac:dyDescent="0.35">
      <c r="B35" s="75"/>
      <c r="D35" s="323"/>
      <c r="G35" s="329"/>
    </row>
    <row r="36" spans="2:7" ht="21" x14ac:dyDescent="0.35">
      <c r="B36" s="76" t="s">
        <v>73</v>
      </c>
      <c r="D36" s="324">
        <v>0</v>
      </c>
      <c r="E36" s="56" t="s">
        <v>74</v>
      </c>
      <c r="G36" s="328"/>
    </row>
    <row r="37" spans="2:7" ht="21" x14ac:dyDescent="0.35">
      <c r="B37" s="76" t="s">
        <v>75</v>
      </c>
      <c r="D37" s="325">
        <v>0.03</v>
      </c>
      <c r="G37" s="328"/>
    </row>
    <row r="38" spans="2:7" ht="21" x14ac:dyDescent="0.35">
      <c r="B38" s="76" t="s">
        <v>76</v>
      </c>
      <c r="D38" s="326">
        <f>(1+D37)^D36</f>
        <v>1</v>
      </c>
      <c r="G38" s="328"/>
    </row>
    <row r="39" spans="2:7" ht="21" x14ac:dyDescent="0.35">
      <c r="B39" s="388" t="s">
        <v>361</v>
      </c>
      <c r="C39" s="314"/>
      <c r="D39" s="372">
        <f>IF(ISTEXT(D28), " ",IF(D32=0.02,0,IF(((G28+G30)*D38)&gt;3999999.999,2%,0%)))*C32</f>
        <v>0</v>
      </c>
      <c r="E39" s="390" t="str">
        <f>IF(OR((AND((G28+G30)&gt;3999999.999,D32=0)),(AND(((G28+G30)*D38)&gt;3999999.999,D39=0,D32=0))),"Civic Structure Mannual Override"," ")</f>
        <v xml:space="preserve"> </v>
      </c>
      <c r="G39" s="328"/>
    </row>
    <row r="40" spans="2:7" ht="10.5" customHeight="1" thickBot="1" x14ac:dyDescent="0.4">
      <c r="B40" s="76"/>
      <c r="D40" s="363"/>
      <c r="G40" s="328"/>
    </row>
    <row r="41" spans="2:7" ht="21.75" thickBot="1" x14ac:dyDescent="0.4">
      <c r="B41" s="953" t="s">
        <v>357</v>
      </c>
      <c r="C41" s="954"/>
      <c r="D41" s="77"/>
      <c r="E41" s="78"/>
      <c r="F41" s="315"/>
      <c r="G41" s="401">
        <f>IF(ISTEXT(D28)," ",ROUND(G34*(D38+D39),0))</f>
        <v>0</v>
      </c>
    </row>
    <row r="42" spans="2:7" ht="15.95" customHeight="1" x14ac:dyDescent="0.35">
      <c r="G42" s="56"/>
    </row>
    <row r="43" spans="2:7" ht="15.95" customHeight="1" x14ac:dyDescent="0.35">
      <c r="G43" s="56"/>
    </row>
    <row r="44" spans="2:7" ht="15.95" customHeight="1" x14ac:dyDescent="0.35">
      <c r="G44" s="56"/>
    </row>
    <row r="155" ht="21" customHeight="1" x14ac:dyDescent="0.35"/>
    <row r="156" ht="21" customHeight="1" x14ac:dyDescent="0.35"/>
    <row r="157" ht="21" customHeight="1" x14ac:dyDescent="0.35"/>
    <row r="158" ht="21" customHeight="1" x14ac:dyDescent="0.35"/>
    <row r="159" ht="21" customHeight="1" x14ac:dyDescent="0.35"/>
    <row r="160" ht="21" customHeight="1" x14ac:dyDescent="0.35"/>
    <row r="161" ht="21" customHeight="1" x14ac:dyDescent="0.35"/>
    <row r="162" ht="21" customHeight="1" x14ac:dyDescent="0.35"/>
    <row r="163" ht="21" customHeight="1" x14ac:dyDescent="0.35"/>
    <row r="164" ht="21" customHeight="1" x14ac:dyDescent="0.35"/>
    <row r="165" ht="21" customHeight="1" x14ac:dyDescent="0.35"/>
    <row r="166" ht="21" customHeight="1" x14ac:dyDescent="0.35"/>
    <row r="167" ht="21" customHeight="1" x14ac:dyDescent="0.35"/>
    <row r="168" ht="21" customHeight="1" x14ac:dyDescent="0.35"/>
    <row r="169" ht="21" customHeight="1" x14ac:dyDescent="0.35"/>
    <row r="170" ht="21" customHeight="1" x14ac:dyDescent="0.35"/>
    <row r="171" ht="21" customHeight="1" x14ac:dyDescent="0.35"/>
    <row r="172" ht="21" customHeight="1" x14ac:dyDescent="0.35"/>
    <row r="173" ht="21" customHeight="1" x14ac:dyDescent="0.35"/>
    <row r="174" ht="21" customHeight="1" x14ac:dyDescent="0.35"/>
    <row r="175" ht="21" customHeight="1" x14ac:dyDescent="0.35"/>
    <row r="176" ht="21" customHeight="1" x14ac:dyDescent="0.35"/>
    <row r="177" ht="21" customHeight="1" x14ac:dyDescent="0.35"/>
    <row r="178" ht="21" customHeight="1" x14ac:dyDescent="0.35"/>
    <row r="179" ht="21" customHeight="1" x14ac:dyDescent="0.35"/>
    <row r="180" ht="21" customHeight="1" x14ac:dyDescent="0.35"/>
    <row r="181" ht="21" customHeight="1" x14ac:dyDescent="0.35"/>
    <row r="182" ht="21" customHeight="1" x14ac:dyDescent="0.35"/>
    <row r="183" ht="21" customHeight="1" x14ac:dyDescent="0.35"/>
    <row r="184" ht="21" customHeight="1" x14ac:dyDescent="0.35"/>
    <row r="185" ht="21" customHeight="1" x14ac:dyDescent="0.35"/>
    <row r="186" ht="21" customHeight="1" x14ac:dyDescent="0.35"/>
    <row r="187" ht="21" customHeight="1" x14ac:dyDescent="0.35"/>
    <row r="188" ht="21" customHeight="1" x14ac:dyDescent="0.35"/>
    <row r="189" ht="21" customHeight="1" x14ac:dyDescent="0.35"/>
    <row r="190" ht="21" customHeight="1" x14ac:dyDescent="0.35"/>
    <row r="191" ht="21" customHeight="1" x14ac:dyDescent="0.35"/>
    <row r="192" ht="21" customHeight="1" x14ac:dyDescent="0.35"/>
    <row r="193" ht="21" customHeight="1" x14ac:dyDescent="0.35"/>
    <row r="194" ht="21" customHeight="1" x14ac:dyDescent="0.35"/>
    <row r="195" ht="21" customHeight="1" x14ac:dyDescent="0.35"/>
    <row r="196" ht="21" customHeight="1" x14ac:dyDescent="0.35"/>
    <row r="197" ht="21" customHeight="1" x14ac:dyDescent="0.35"/>
    <row r="198" ht="21" customHeight="1" x14ac:dyDescent="0.35"/>
    <row r="199" ht="21" customHeight="1" x14ac:dyDescent="0.35"/>
    <row r="200" ht="21" customHeight="1" x14ac:dyDescent="0.35"/>
    <row r="201" ht="21" customHeight="1" x14ac:dyDescent="0.35"/>
    <row r="202" ht="21" customHeight="1" x14ac:dyDescent="0.35"/>
    <row r="203" ht="21" customHeight="1" x14ac:dyDescent="0.35"/>
    <row r="204" ht="21" customHeight="1" x14ac:dyDescent="0.35"/>
    <row r="205" ht="21" customHeight="1" x14ac:dyDescent="0.35"/>
    <row r="206" ht="21" customHeight="1" x14ac:dyDescent="0.35"/>
    <row r="207" ht="21" customHeight="1" x14ac:dyDescent="0.35"/>
    <row r="208" ht="21" customHeight="1" x14ac:dyDescent="0.35"/>
    <row r="209" ht="21" customHeight="1" x14ac:dyDescent="0.35"/>
    <row r="210" ht="21" customHeight="1" x14ac:dyDescent="0.35"/>
    <row r="211" ht="21" customHeight="1" x14ac:dyDescent="0.35"/>
    <row r="212" ht="21" customHeight="1" x14ac:dyDescent="0.35"/>
    <row r="213" ht="21" customHeight="1" x14ac:dyDescent="0.35"/>
    <row r="214" ht="21" customHeight="1" x14ac:dyDescent="0.35"/>
    <row r="215" ht="21" customHeight="1" x14ac:dyDescent="0.35"/>
    <row r="216" ht="21" customHeight="1" x14ac:dyDescent="0.35"/>
    <row r="217" ht="21" customHeight="1" x14ac:dyDescent="0.35"/>
    <row r="218" ht="21" customHeight="1" x14ac:dyDescent="0.35"/>
    <row r="219" ht="21" customHeight="1" x14ac:dyDescent="0.35"/>
    <row r="220" ht="21" customHeight="1" x14ac:dyDescent="0.35"/>
    <row r="221" ht="21" customHeight="1" x14ac:dyDescent="0.35"/>
    <row r="222" ht="21" customHeight="1" x14ac:dyDescent="0.35"/>
    <row r="223" ht="21" customHeight="1" x14ac:dyDescent="0.35"/>
    <row r="224" ht="21" customHeight="1" x14ac:dyDescent="0.35"/>
    <row r="225" ht="21" customHeight="1" x14ac:dyDescent="0.35"/>
    <row r="226" ht="21" customHeight="1" x14ac:dyDescent="0.35"/>
    <row r="227" ht="21" customHeight="1" x14ac:dyDescent="0.35"/>
    <row r="228" ht="21" customHeight="1" x14ac:dyDescent="0.35"/>
    <row r="229" ht="21" customHeight="1" x14ac:dyDescent="0.35"/>
    <row r="230" ht="21" customHeight="1" x14ac:dyDescent="0.35"/>
    <row r="231" ht="21" customHeight="1" x14ac:dyDescent="0.35"/>
    <row r="232" ht="21" customHeight="1" x14ac:dyDescent="0.35"/>
    <row r="233" ht="21" customHeight="1" x14ac:dyDescent="0.35"/>
    <row r="234" ht="21" customHeight="1" x14ac:dyDescent="0.35"/>
    <row r="235" ht="21" customHeight="1" x14ac:dyDescent="0.35"/>
    <row r="236" ht="21" customHeight="1" x14ac:dyDescent="0.35"/>
    <row r="237" ht="21" customHeight="1" x14ac:dyDescent="0.35"/>
    <row r="238" ht="21" customHeight="1" x14ac:dyDescent="0.35"/>
    <row r="239" ht="21" customHeight="1" x14ac:dyDescent="0.35"/>
    <row r="240" ht="21" customHeight="1" x14ac:dyDescent="0.35"/>
    <row r="241" ht="21" customHeight="1" x14ac:dyDescent="0.35"/>
    <row r="242" ht="21" customHeight="1" x14ac:dyDescent="0.35"/>
    <row r="243" ht="21" customHeight="1" x14ac:dyDescent="0.35"/>
    <row r="244" ht="21" customHeight="1" x14ac:dyDescent="0.35"/>
    <row r="245" ht="21" customHeight="1" x14ac:dyDescent="0.35"/>
    <row r="246" ht="21" customHeight="1" x14ac:dyDescent="0.35"/>
    <row r="247" ht="21" customHeight="1" x14ac:dyDescent="0.35"/>
    <row r="248" ht="21" customHeight="1" x14ac:dyDescent="0.35"/>
    <row r="249" ht="21" customHeight="1" x14ac:dyDescent="0.35"/>
    <row r="250" ht="21" customHeight="1" x14ac:dyDescent="0.35"/>
    <row r="251" ht="21" customHeight="1" x14ac:dyDescent="0.35"/>
    <row r="252" ht="21" customHeight="1" x14ac:dyDescent="0.35"/>
    <row r="253" ht="21" customHeight="1" x14ac:dyDescent="0.35"/>
    <row r="254" ht="21" customHeight="1" x14ac:dyDescent="0.35"/>
    <row r="255" ht="21" customHeight="1" x14ac:dyDescent="0.35"/>
    <row r="256" ht="21" customHeight="1" x14ac:dyDescent="0.35"/>
    <row r="257" ht="21" customHeight="1" x14ac:dyDescent="0.35"/>
    <row r="258" ht="21" customHeight="1" x14ac:dyDescent="0.35"/>
    <row r="259" ht="21" customHeight="1" x14ac:dyDescent="0.35"/>
    <row r="260" ht="21" customHeight="1" x14ac:dyDescent="0.35"/>
    <row r="261" ht="21" customHeight="1" x14ac:dyDescent="0.35"/>
    <row r="262" ht="21" customHeight="1" x14ac:dyDescent="0.35"/>
    <row r="263" ht="21" customHeight="1" x14ac:dyDescent="0.35"/>
    <row r="264" ht="21" customHeight="1" x14ac:dyDescent="0.35"/>
    <row r="265" ht="21" customHeight="1" x14ac:dyDescent="0.35"/>
    <row r="266" ht="21" customHeight="1" x14ac:dyDescent="0.35"/>
    <row r="267" ht="21" customHeight="1" x14ac:dyDescent="0.35"/>
    <row r="268" ht="21" customHeight="1" x14ac:dyDescent="0.35"/>
    <row r="269" ht="21" customHeight="1" x14ac:dyDescent="0.35"/>
    <row r="270" ht="21" customHeight="1" x14ac:dyDescent="0.35"/>
    <row r="271" ht="21" customHeight="1" x14ac:dyDescent="0.35"/>
    <row r="272" ht="21" customHeight="1" x14ac:dyDescent="0.35"/>
    <row r="273" ht="21" customHeight="1" x14ac:dyDescent="0.35"/>
    <row r="274" ht="21" customHeight="1" x14ac:dyDescent="0.35"/>
    <row r="275" ht="21" customHeight="1" x14ac:dyDescent="0.35"/>
    <row r="276" ht="21" customHeight="1" x14ac:dyDescent="0.35"/>
    <row r="277" ht="21" customHeight="1" x14ac:dyDescent="0.35"/>
    <row r="278" ht="21" customHeight="1" x14ac:dyDescent="0.35"/>
    <row r="279" ht="21" customHeight="1" x14ac:dyDescent="0.35"/>
    <row r="280" ht="21" customHeight="1" x14ac:dyDescent="0.35"/>
    <row r="281" ht="21" customHeight="1" x14ac:dyDescent="0.35"/>
    <row r="282" ht="21" customHeight="1" x14ac:dyDescent="0.35"/>
    <row r="283" ht="21" customHeight="1" x14ac:dyDescent="0.35"/>
    <row r="284" ht="21" customHeight="1" x14ac:dyDescent="0.35"/>
    <row r="285" ht="21" customHeight="1" x14ac:dyDescent="0.35"/>
    <row r="286" ht="21" customHeight="1" x14ac:dyDescent="0.35"/>
    <row r="287" ht="21" customHeight="1" x14ac:dyDescent="0.35"/>
    <row r="288" ht="21" customHeight="1" x14ac:dyDescent="0.35"/>
    <row r="289" ht="21" customHeight="1" x14ac:dyDescent="0.35"/>
    <row r="290" ht="21" customHeight="1" x14ac:dyDescent="0.35"/>
    <row r="291" ht="21" customHeight="1" x14ac:dyDescent="0.35"/>
    <row r="292" ht="21" customHeight="1" x14ac:dyDescent="0.35"/>
    <row r="293" ht="21" customHeight="1" x14ac:dyDescent="0.35"/>
    <row r="294" ht="21" customHeight="1" x14ac:dyDescent="0.35"/>
    <row r="295" ht="21" customHeight="1" x14ac:dyDescent="0.35"/>
    <row r="296" ht="21" customHeight="1" x14ac:dyDescent="0.35"/>
    <row r="297" ht="21" customHeight="1" x14ac:dyDescent="0.35"/>
    <row r="298" ht="21" customHeight="1" x14ac:dyDescent="0.35"/>
    <row r="299" ht="21" customHeight="1" x14ac:dyDescent="0.35"/>
    <row r="300" ht="21" customHeight="1" x14ac:dyDescent="0.35"/>
    <row r="301" ht="21" customHeight="1" x14ac:dyDescent="0.35"/>
    <row r="302" ht="21" customHeight="1" x14ac:dyDescent="0.35"/>
    <row r="303" ht="21" customHeight="1" x14ac:dyDescent="0.35"/>
    <row r="304" ht="21" customHeight="1" x14ac:dyDescent="0.35"/>
    <row r="305" ht="21" customHeight="1" x14ac:dyDescent="0.35"/>
    <row r="306" ht="21" customHeight="1" x14ac:dyDescent="0.35"/>
    <row r="307" ht="21" customHeight="1" x14ac:dyDescent="0.35"/>
    <row r="308" ht="21" customHeight="1" x14ac:dyDescent="0.35"/>
    <row r="309" ht="21" customHeight="1" x14ac:dyDescent="0.35"/>
    <row r="310" ht="21" customHeight="1" x14ac:dyDescent="0.35"/>
    <row r="311" ht="21" customHeight="1" x14ac:dyDescent="0.35"/>
    <row r="312" ht="21" customHeight="1" x14ac:dyDescent="0.35"/>
    <row r="313" ht="21" customHeight="1" x14ac:dyDescent="0.35"/>
    <row r="314" ht="21" customHeight="1" x14ac:dyDescent="0.35"/>
    <row r="315" ht="21" customHeight="1" x14ac:dyDescent="0.35"/>
    <row r="316" ht="21" customHeight="1" x14ac:dyDescent="0.35"/>
    <row r="317" ht="21" customHeight="1" x14ac:dyDescent="0.35"/>
    <row r="318" ht="21" customHeight="1" x14ac:dyDescent="0.35"/>
    <row r="319" ht="21" customHeight="1" x14ac:dyDescent="0.35"/>
    <row r="320" ht="21" customHeight="1" x14ac:dyDescent="0.35"/>
    <row r="321" ht="21" customHeight="1" x14ac:dyDescent="0.35"/>
    <row r="322" ht="21" customHeight="1" x14ac:dyDescent="0.35"/>
    <row r="323" ht="21" customHeight="1" x14ac:dyDescent="0.35"/>
    <row r="324" ht="21" customHeight="1" x14ac:dyDescent="0.35"/>
    <row r="325" ht="21" customHeight="1" x14ac:dyDescent="0.35"/>
    <row r="326" ht="21" customHeight="1" x14ac:dyDescent="0.35"/>
    <row r="327" ht="21" customHeight="1" x14ac:dyDescent="0.35"/>
    <row r="328" ht="21" customHeight="1" x14ac:dyDescent="0.35"/>
    <row r="329" ht="21" customHeight="1" x14ac:dyDescent="0.35"/>
    <row r="330" ht="21" customHeight="1" x14ac:dyDescent="0.35"/>
    <row r="331" ht="21" customHeight="1" x14ac:dyDescent="0.35"/>
    <row r="332" ht="21" customHeight="1" x14ac:dyDescent="0.35"/>
    <row r="333" ht="21" customHeight="1" x14ac:dyDescent="0.35"/>
    <row r="334" ht="21" customHeight="1" x14ac:dyDescent="0.35"/>
    <row r="335" ht="21" customHeight="1" x14ac:dyDescent="0.35"/>
    <row r="336" ht="21" customHeight="1" x14ac:dyDescent="0.35"/>
    <row r="337" ht="21" customHeight="1" x14ac:dyDescent="0.35"/>
    <row r="338" ht="21" customHeight="1" x14ac:dyDescent="0.35"/>
    <row r="339" ht="21" customHeight="1" x14ac:dyDescent="0.35"/>
    <row r="340" ht="21" customHeight="1" x14ac:dyDescent="0.35"/>
    <row r="341" ht="21" customHeight="1" x14ac:dyDescent="0.35"/>
    <row r="342" ht="21" customHeight="1" x14ac:dyDescent="0.35"/>
    <row r="343" ht="21" customHeight="1" x14ac:dyDescent="0.35"/>
    <row r="344" ht="21" customHeight="1" x14ac:dyDescent="0.35"/>
    <row r="345" ht="21" customHeight="1" x14ac:dyDescent="0.35"/>
    <row r="346" ht="21" customHeight="1" x14ac:dyDescent="0.35"/>
    <row r="347" ht="21" customHeight="1" x14ac:dyDescent="0.35"/>
    <row r="348" ht="21" customHeight="1" x14ac:dyDescent="0.35"/>
    <row r="349" ht="21" customHeight="1" x14ac:dyDescent="0.35"/>
    <row r="350" ht="21" customHeight="1" x14ac:dyDescent="0.35"/>
    <row r="351" ht="21" customHeight="1" x14ac:dyDescent="0.35"/>
    <row r="352" ht="21" customHeight="1" x14ac:dyDescent="0.35"/>
    <row r="353" ht="21" customHeight="1" x14ac:dyDescent="0.35"/>
    <row r="354" ht="21" customHeight="1" x14ac:dyDescent="0.35"/>
    <row r="355" ht="21" customHeight="1" x14ac:dyDescent="0.35"/>
    <row r="356" ht="21" customHeight="1" x14ac:dyDescent="0.35"/>
    <row r="357" ht="21" customHeight="1" x14ac:dyDescent="0.35"/>
    <row r="358" ht="21" customHeight="1" x14ac:dyDescent="0.35"/>
    <row r="359" ht="21" customHeight="1" x14ac:dyDescent="0.35"/>
    <row r="360" ht="21" customHeight="1" x14ac:dyDescent="0.35"/>
    <row r="361" ht="21" customHeight="1" x14ac:dyDescent="0.35"/>
    <row r="362" ht="21" customHeight="1" x14ac:dyDescent="0.35"/>
    <row r="363" ht="21" customHeight="1" x14ac:dyDescent="0.35"/>
    <row r="364" ht="21" customHeight="1" x14ac:dyDescent="0.35"/>
    <row r="365" ht="21" customHeight="1" x14ac:dyDescent="0.35"/>
    <row r="366" ht="21" customHeight="1" x14ac:dyDescent="0.35"/>
    <row r="367" ht="21" customHeight="1" x14ac:dyDescent="0.35"/>
    <row r="368" ht="21" customHeight="1" x14ac:dyDescent="0.35"/>
    <row r="369" ht="21" customHeight="1" x14ac:dyDescent="0.35"/>
    <row r="370" ht="21" customHeight="1" x14ac:dyDescent="0.35"/>
    <row r="371" ht="21" customHeight="1" x14ac:dyDescent="0.35"/>
    <row r="372" ht="21" customHeight="1" x14ac:dyDescent="0.35"/>
    <row r="373" ht="21" customHeight="1" x14ac:dyDescent="0.35"/>
    <row r="374" ht="21" customHeight="1" x14ac:dyDescent="0.35"/>
    <row r="375" ht="21" customHeight="1" x14ac:dyDescent="0.35"/>
    <row r="376" ht="21" customHeight="1" x14ac:dyDescent="0.35"/>
    <row r="377" ht="21" customHeight="1" x14ac:dyDescent="0.35"/>
    <row r="378" ht="21" customHeight="1" x14ac:dyDescent="0.35"/>
    <row r="379" ht="21" customHeight="1" x14ac:dyDescent="0.35"/>
    <row r="380" ht="21" customHeight="1" x14ac:dyDescent="0.35"/>
    <row r="381" ht="21" customHeight="1" x14ac:dyDescent="0.35"/>
    <row r="382" ht="21" customHeight="1" x14ac:dyDescent="0.35"/>
    <row r="383" ht="21" customHeight="1" x14ac:dyDescent="0.35"/>
    <row r="384" ht="21" customHeight="1" x14ac:dyDescent="0.35"/>
    <row r="385" ht="21" customHeight="1" x14ac:dyDescent="0.35"/>
    <row r="386" ht="21" customHeight="1" x14ac:dyDescent="0.35"/>
    <row r="387" ht="21" customHeight="1" x14ac:dyDescent="0.35"/>
    <row r="388" ht="21" customHeight="1" x14ac:dyDescent="0.35"/>
    <row r="389" ht="21" customHeight="1" x14ac:dyDescent="0.35"/>
    <row r="390" ht="21" customHeight="1" x14ac:dyDescent="0.35"/>
    <row r="391" ht="21" customHeight="1" x14ac:dyDescent="0.35"/>
    <row r="392" ht="21" customHeight="1" x14ac:dyDescent="0.35"/>
    <row r="393" ht="21" customHeight="1" x14ac:dyDescent="0.35"/>
    <row r="394" ht="21" customHeight="1" x14ac:dyDescent="0.35"/>
    <row r="395" ht="21" customHeight="1" x14ac:dyDescent="0.35"/>
    <row r="396" ht="21" customHeight="1" x14ac:dyDescent="0.35"/>
    <row r="397" ht="21" customHeight="1" x14ac:dyDescent="0.35"/>
    <row r="398" ht="21" customHeight="1" x14ac:dyDescent="0.35"/>
    <row r="399" ht="21" customHeight="1" x14ac:dyDescent="0.35"/>
  </sheetData>
  <dataConsolidate/>
  <mergeCells count="14">
    <mergeCell ref="B41:C41"/>
    <mergeCell ref="A2:B2"/>
    <mergeCell ref="B4:C4"/>
    <mergeCell ref="D25:D26"/>
    <mergeCell ref="B22:C22"/>
    <mergeCell ref="B23:C23"/>
    <mergeCell ref="A3:B3"/>
    <mergeCell ref="G25:G26"/>
    <mergeCell ref="B6:C6"/>
    <mergeCell ref="B5:C5"/>
    <mergeCell ref="B20:C20"/>
    <mergeCell ref="B25:C26"/>
    <mergeCell ref="D10:D11"/>
    <mergeCell ref="E25:E26"/>
  </mergeCells>
  <phoneticPr fontId="0" type="noConversion"/>
  <dataValidations count="7">
    <dataValidation type="list" allowBlank="1" showInputMessage="1" showErrorMessage="1" sqref="C10" xr:uid="{00000000-0002-0000-0100-000000000000}">
      <formula1>"New Construction, Renovation"</formula1>
    </dataValidation>
    <dataValidation type="list" allowBlank="1" showInputMessage="1" showErrorMessage="1" sqref="C16:E16" xr:uid="{00000000-0002-0000-0100-000001000000}">
      <formula1>"Heavy, Med, Light, Finish, New"</formula1>
    </dataValidation>
    <dataValidation type="list" allowBlank="1" showInputMessage="1" showErrorMessage="1" sqref="G12" xr:uid="{00000000-0002-0000-0100-000002000000}">
      <formula1>"1.00,1.05,1.075,1.1"</formula1>
    </dataValidation>
    <dataValidation type="list" allowBlank="1" showInputMessage="1" showErrorMessage="1" sqref="G20" xr:uid="{00000000-0002-0000-0100-000003000000}">
      <formula1>"1.00, 1.02"</formula1>
    </dataValidation>
    <dataValidation type="list" allowBlank="1" showInputMessage="1" showErrorMessage="1" sqref="G18 G16 G14" xr:uid="{00000000-0002-0000-0100-000004000000}">
      <formula1>"1.00,1.03,1.04,1.05"</formula1>
    </dataValidation>
    <dataValidation type="list" allowBlank="1" showInputMessage="1" showErrorMessage="1" sqref="D30" xr:uid="{00000000-0002-0000-0100-000005000000}">
      <formula1>"30%,40%"</formula1>
    </dataValidation>
    <dataValidation type="list" allowBlank="1" showInputMessage="1" showErrorMessage="1" sqref="D31" xr:uid="{00000000-0002-0000-0100-000006000000}">
      <formula1>"0%, 15%, 25%"</formula1>
    </dataValidation>
  </dataValidations>
  <hyperlinks>
    <hyperlink ref="B14" location="'Cost per Square Foot Table'!A1" display="Type of Space" xr:uid="{00000000-0004-0000-0100-000000000000}"/>
    <hyperlink ref="B14" location="'Benchmark Cost Per SF'!A1" display="Type of Space" xr:uid="{00000000-0004-0000-0100-000001000000}"/>
    <hyperlink ref="G11" location="ConceptualConstructionEstimate!G11" tooltip="Asbestos Abatement /  Hazardous Material Removal" display="Asbestos/Haz Mat" xr:uid="{00000000-0004-0000-0100-000002000000}"/>
    <hyperlink ref="G13" location="ConceptualConstructionEstimate!G13" tooltip="Unsuitable Soils Allowance" display="Unsuitable Soils" xr:uid="{00000000-0004-0000-0100-000003000000}"/>
    <hyperlink ref="G15" location="ConceptualConstructionEstimate!G15" tooltip="Premium Landscape allowance - above industry standard." display="Premium Landscaping" xr:uid="{00000000-0004-0000-0100-000004000000}"/>
    <hyperlink ref="G17" location="ConceptualConstructionEstimate!G17" tooltip="Premium for increased sitework / site utilities above typical industry standard. " display="Premium Site Work" xr:uid="{00000000-0004-0000-0100-000005000000}"/>
    <hyperlink ref="G19" location="ConceptualConstructionEstimate!G19" tooltip="Site / Work hour constraints and/or limitations" display="Constraints on Time or Site" xr:uid="{00000000-0004-0000-0100-000006000000}"/>
    <hyperlink ref="A2:B2" location="'Total Project Estimate'!A1" display="'Total Project Estimate'!A1" xr:uid="{00000000-0004-0000-0100-000007000000}"/>
    <hyperlink ref="A3:B3" location="'Total Project Estimate'!A2" display="Project Name" xr:uid="{00000000-0004-0000-0100-000008000000}"/>
    <hyperlink ref="B39" location="ConceptualConstructionEstimate!B32" tooltip="This will only be triggered if inflation increases the construction budget above the civic structure threshold. It does not double calculate civic structure." display="Civic Structure" xr:uid="{00000000-0004-0000-0100-000009000000}"/>
  </hyperlinks>
  <printOptions horizontalCentered="1"/>
  <pageMargins left="0.7" right="0.7" top="0.75" bottom="0.75" header="0.3" footer="0.3"/>
  <pageSetup scale="61" fitToHeight="0" orientation="landscape" r:id="rId1"/>
  <headerFooter>
    <oddHeader xml:space="preserve">&amp;L&amp;"-,Regular" Printed: &amp;D @ &amp;T&amp;R&amp;"-,Regular"Page &amp;P of &amp;N
</oddHeader>
    <oddFooter>&amp;L&amp;"-,Regular"&amp;F&amp;C&amp;"-,Regular"&amp;A&amp;R&amp;"-,Regular"Budget Version 2016</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7000000}">
          <x14:formula1>
            <xm:f>'Benchmark Cost Per SF'!$B$32:$B$45</xm:f>
          </x14:formula1>
          <xm:sqref>C14:E14</xm:sqref>
        </x14:dataValidation>
        <x14:dataValidation type="list" allowBlank="1" showInputMessage="1" showErrorMessage="1" xr:uid="{00000000-0002-0000-0100-000008000000}">
          <x14:formula1>
            <xm:f>'Benchmark Cost Per SF'!$B$46:$B$47</xm:f>
          </x14:formula1>
          <xm:sqref>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tabColor theme="7" tint="-0.499984740745262"/>
  </sheetPr>
  <dimension ref="A1:L98"/>
  <sheetViews>
    <sheetView zoomScaleNormal="100" workbookViewId="0">
      <selection activeCell="F14" sqref="F14"/>
    </sheetView>
  </sheetViews>
  <sheetFormatPr defaultColWidth="9.140625" defaultRowHeight="12.75" x14ac:dyDescent="0.2"/>
  <cols>
    <col min="1" max="1" width="11.7109375" style="20" customWidth="1"/>
    <col min="2" max="7" width="10.7109375" style="20" customWidth="1"/>
    <col min="8" max="16384" width="9.140625" style="20"/>
  </cols>
  <sheetData>
    <row r="1" spans="1:12" x14ac:dyDescent="0.2">
      <c r="A1" s="19" t="s">
        <v>49</v>
      </c>
    </row>
    <row r="4" spans="1:12" x14ac:dyDescent="0.2">
      <c r="A4" s="37" t="s">
        <v>60</v>
      </c>
    </row>
    <row r="5" spans="1:12" x14ac:dyDescent="0.2">
      <c r="B5" s="20" t="s">
        <v>57</v>
      </c>
    </row>
    <row r="7" spans="1:12" x14ac:dyDescent="0.2">
      <c r="A7" s="37" t="s">
        <v>61</v>
      </c>
    </row>
    <row r="8" spans="1:12" x14ac:dyDescent="0.2">
      <c r="B8" s="20" t="s">
        <v>58</v>
      </c>
    </row>
    <row r="9" spans="1:12" x14ac:dyDescent="0.2">
      <c r="B9" s="20" t="s">
        <v>59</v>
      </c>
    </row>
    <row r="11" spans="1:12" x14ac:dyDescent="0.2">
      <c r="A11" s="20" t="s">
        <v>63</v>
      </c>
    </row>
    <row r="12" spans="1:12" x14ac:dyDescent="0.2">
      <c r="B12" s="20" t="s">
        <v>62</v>
      </c>
    </row>
    <row r="14" spans="1:12" x14ac:dyDescent="0.2">
      <c r="L14" s="19"/>
    </row>
    <row r="16" spans="1:12" x14ac:dyDescent="0.2">
      <c r="B16" s="20" t="s">
        <v>50</v>
      </c>
      <c r="C16" s="21" t="s">
        <v>51</v>
      </c>
      <c r="D16" s="22"/>
      <c r="E16" s="22"/>
      <c r="F16" s="22"/>
      <c r="G16" s="23" t="s">
        <v>52</v>
      </c>
    </row>
    <row r="17" spans="1:7" x14ac:dyDescent="0.2">
      <c r="C17" s="21"/>
      <c r="D17" s="22"/>
      <c r="E17" s="22"/>
      <c r="F17" s="22"/>
      <c r="G17" s="23"/>
    </row>
    <row r="18" spans="1:7" x14ac:dyDescent="0.2">
      <c r="B18" s="22" t="s">
        <v>53</v>
      </c>
      <c r="C18" s="21"/>
      <c r="D18" s="22"/>
      <c r="E18" s="22"/>
      <c r="F18" s="22"/>
      <c r="G18" s="23"/>
    </row>
    <row r="19" spans="1:7" ht="13.5" thickBot="1" x14ac:dyDescent="0.25"/>
    <row r="20" spans="1:7" x14ac:dyDescent="0.2">
      <c r="A20" s="24" t="s">
        <v>54</v>
      </c>
      <c r="B20" s="43" t="s">
        <v>71</v>
      </c>
      <c r="C20" s="44"/>
      <c r="D20" s="43" t="s">
        <v>77</v>
      </c>
      <c r="E20" s="44"/>
      <c r="F20" s="42" t="s">
        <v>78</v>
      </c>
      <c r="G20" s="39"/>
    </row>
    <row r="21" spans="1:7" ht="13.5" thickBot="1" x14ac:dyDescent="0.25">
      <c r="A21" s="25" t="s">
        <v>64</v>
      </c>
      <c r="B21" s="45"/>
      <c r="C21" s="46"/>
      <c r="D21" s="45"/>
      <c r="E21" s="46"/>
      <c r="F21" s="40"/>
      <c r="G21" s="41"/>
    </row>
    <row r="22" spans="1:7" ht="13.5" thickBot="1" x14ac:dyDescent="0.25">
      <c r="A22" s="26" t="s">
        <v>55</v>
      </c>
      <c r="B22" s="27" t="s">
        <v>56</v>
      </c>
      <c r="C22" s="28" t="s">
        <v>5</v>
      </c>
      <c r="D22" s="27" t="s">
        <v>56</v>
      </c>
      <c r="E22" s="28" t="s">
        <v>5</v>
      </c>
      <c r="F22" s="27" t="s">
        <v>56</v>
      </c>
      <c r="G22" s="28" t="s">
        <v>5</v>
      </c>
    </row>
    <row r="23" spans="1:7" ht="13.5" customHeight="1" thickBot="1" x14ac:dyDescent="0.25">
      <c r="A23" s="30">
        <v>0</v>
      </c>
      <c r="B23" s="409">
        <v>0</v>
      </c>
      <c r="C23" s="409">
        <v>0</v>
      </c>
      <c r="D23" s="409">
        <v>0</v>
      </c>
      <c r="E23" s="409">
        <v>0</v>
      </c>
      <c r="F23" s="409">
        <v>0</v>
      </c>
      <c r="G23" s="409">
        <v>0</v>
      </c>
    </row>
    <row r="24" spans="1:7" ht="13.5" customHeight="1" thickBot="1" x14ac:dyDescent="0.25">
      <c r="A24" s="30">
        <v>1E-3</v>
      </c>
      <c r="B24" s="409">
        <v>0.12</v>
      </c>
      <c r="C24" s="409">
        <v>0.14400000000000002</v>
      </c>
      <c r="D24" s="409">
        <v>0.13</v>
      </c>
      <c r="E24" s="409">
        <v>0.156</v>
      </c>
      <c r="F24" s="409">
        <v>0.14000000000000001</v>
      </c>
      <c r="G24" s="409">
        <v>0.16800000000000001</v>
      </c>
    </row>
    <row r="25" spans="1:7" ht="13.5" thickBot="1" x14ac:dyDescent="0.25">
      <c r="A25" s="30">
        <v>1</v>
      </c>
      <c r="B25" s="409">
        <v>0.12</v>
      </c>
      <c r="C25" s="409">
        <v>0.14400000000000002</v>
      </c>
      <c r="D25" s="409">
        <v>0.13</v>
      </c>
      <c r="E25" s="409">
        <v>0.156</v>
      </c>
      <c r="F25" s="409">
        <v>0.14000000000000001</v>
      </c>
      <c r="G25" s="409">
        <v>0.16800000000000001</v>
      </c>
    </row>
    <row r="26" spans="1:7" ht="13.5" thickBot="1" x14ac:dyDescent="0.25">
      <c r="A26" s="31">
        <v>50</v>
      </c>
      <c r="B26" s="410">
        <v>0.1</v>
      </c>
      <c r="C26" s="410">
        <v>0.12</v>
      </c>
      <c r="D26" s="410">
        <v>0.11</v>
      </c>
      <c r="E26" s="410">
        <v>0.13200000000000001</v>
      </c>
      <c r="F26" s="410">
        <v>0.12</v>
      </c>
      <c r="G26" s="410">
        <v>0.14400000000000002</v>
      </c>
    </row>
    <row r="27" spans="1:7" ht="13.5" thickBot="1" x14ac:dyDescent="0.25">
      <c r="A27" s="29">
        <v>75</v>
      </c>
      <c r="B27" s="411">
        <v>9.5000000000000001E-2</v>
      </c>
      <c r="C27" s="411">
        <v>0.114</v>
      </c>
      <c r="D27" s="411">
        <v>0.105</v>
      </c>
      <c r="E27" s="411">
        <v>0.126</v>
      </c>
      <c r="F27" s="411">
        <v>0.115</v>
      </c>
      <c r="G27" s="411">
        <v>0.13800000000000001</v>
      </c>
    </row>
    <row r="28" spans="1:7" ht="13.5" thickBot="1" x14ac:dyDescent="0.25">
      <c r="A28" s="31">
        <v>100</v>
      </c>
      <c r="B28" s="410">
        <v>9.1999999999999998E-2</v>
      </c>
      <c r="C28" s="410">
        <v>0.1104</v>
      </c>
      <c r="D28" s="410">
        <v>0.10199999999999999</v>
      </c>
      <c r="E28" s="410">
        <v>0.12240000000000001</v>
      </c>
      <c r="F28" s="410">
        <v>0.11199999999999999</v>
      </c>
      <c r="G28" s="410">
        <v>0.13439999999999999</v>
      </c>
    </row>
    <row r="29" spans="1:7" ht="13.5" thickBot="1" x14ac:dyDescent="0.25">
      <c r="A29" s="29">
        <v>200</v>
      </c>
      <c r="B29" s="411">
        <v>8.900000000000001E-2</v>
      </c>
      <c r="C29" s="411">
        <v>0.10679999999999999</v>
      </c>
      <c r="D29" s="411">
        <v>9.9000000000000005E-2</v>
      </c>
      <c r="E29" s="411">
        <v>0.1188</v>
      </c>
      <c r="F29" s="411">
        <v>0.109</v>
      </c>
      <c r="G29" s="411">
        <v>0.1308</v>
      </c>
    </row>
    <row r="30" spans="1:7" ht="13.5" thickBot="1" x14ac:dyDescent="0.25">
      <c r="A30" s="31">
        <v>300</v>
      </c>
      <c r="B30" s="410">
        <v>8.5999999999999993E-2</v>
      </c>
      <c r="C30" s="410">
        <v>0.1032</v>
      </c>
      <c r="D30" s="410">
        <v>9.6000000000000002E-2</v>
      </c>
      <c r="E30" s="410">
        <v>0.1152</v>
      </c>
      <c r="F30" s="410">
        <v>0.105</v>
      </c>
      <c r="G30" s="410">
        <v>0.126</v>
      </c>
    </row>
    <row r="31" spans="1:7" ht="13.5" thickBot="1" x14ac:dyDescent="0.25">
      <c r="A31" s="29">
        <v>400</v>
      </c>
      <c r="B31" s="411">
        <v>8.3000000000000004E-2</v>
      </c>
      <c r="C31" s="411">
        <v>9.9600000000000008E-2</v>
      </c>
      <c r="D31" s="411">
        <v>9.3000000000000013E-2</v>
      </c>
      <c r="E31" s="411">
        <v>0.1116</v>
      </c>
      <c r="F31" s="411">
        <v>0.10300000000000001</v>
      </c>
      <c r="G31" s="411">
        <v>0.12359999999999999</v>
      </c>
    </row>
    <row r="32" spans="1:7" ht="13.5" thickBot="1" x14ac:dyDescent="0.25">
      <c r="A32" s="31">
        <v>500</v>
      </c>
      <c r="B32" s="410">
        <v>0.08</v>
      </c>
      <c r="C32" s="410">
        <v>9.6000000000000002E-2</v>
      </c>
      <c r="D32" s="410">
        <v>0.09</v>
      </c>
      <c r="E32" s="410">
        <v>0.10800000000000001</v>
      </c>
      <c r="F32" s="410">
        <v>0.1</v>
      </c>
      <c r="G32" s="410">
        <v>0.12</v>
      </c>
    </row>
    <row r="33" spans="1:7" ht="13.5" thickBot="1" x14ac:dyDescent="0.25">
      <c r="A33" s="29">
        <v>600</v>
      </c>
      <c r="B33" s="411">
        <v>7.8E-2</v>
      </c>
      <c r="C33" s="411">
        <v>9.3599999999999989E-2</v>
      </c>
      <c r="D33" s="411">
        <v>8.8000000000000009E-2</v>
      </c>
      <c r="E33" s="411">
        <v>0.1056</v>
      </c>
      <c r="F33" s="411">
        <v>9.8000000000000004E-2</v>
      </c>
      <c r="G33" s="411">
        <v>0.1176</v>
      </c>
    </row>
    <row r="34" spans="1:7" ht="13.5" thickBot="1" x14ac:dyDescent="0.25">
      <c r="A34" s="31">
        <v>700</v>
      </c>
      <c r="B34" s="410">
        <v>7.5999999999999998E-2</v>
      </c>
      <c r="C34" s="410">
        <v>9.1199999999999989E-2</v>
      </c>
      <c r="D34" s="410">
        <v>8.5999999999999993E-2</v>
      </c>
      <c r="E34" s="410">
        <v>0.1032</v>
      </c>
      <c r="F34" s="410">
        <v>9.6000000000000002E-2</v>
      </c>
      <c r="G34" s="410">
        <v>0.1152</v>
      </c>
    </row>
    <row r="35" spans="1:7" ht="13.5" thickBot="1" x14ac:dyDescent="0.25">
      <c r="A35" s="29">
        <v>800</v>
      </c>
      <c r="B35" s="411">
        <v>7.400000000000001E-2</v>
      </c>
      <c r="C35" s="411">
        <v>8.8800000000000004E-2</v>
      </c>
      <c r="D35" s="411">
        <v>8.4000000000000005E-2</v>
      </c>
      <c r="E35" s="411">
        <v>0.1008</v>
      </c>
      <c r="F35" s="411">
        <v>9.4E-2</v>
      </c>
      <c r="G35" s="411">
        <v>0.1128</v>
      </c>
    </row>
    <row r="36" spans="1:7" ht="13.5" thickBot="1" x14ac:dyDescent="0.25">
      <c r="A36" s="31">
        <v>900</v>
      </c>
      <c r="B36" s="410">
        <v>7.2000000000000008E-2</v>
      </c>
      <c r="C36" s="410">
        <v>8.6400000000000005E-2</v>
      </c>
      <c r="D36" s="410">
        <v>8.199999999999999E-2</v>
      </c>
      <c r="E36" s="410">
        <v>9.8400000000000001E-2</v>
      </c>
      <c r="F36" s="410">
        <v>9.1999999999999998E-2</v>
      </c>
      <c r="G36" s="410">
        <v>0.1104</v>
      </c>
    </row>
    <row r="37" spans="1:7" ht="13.5" thickBot="1" x14ac:dyDescent="0.25">
      <c r="A37" s="32">
        <v>1000</v>
      </c>
      <c r="B37" s="411">
        <v>6.9000000000000006E-2</v>
      </c>
      <c r="C37" s="411">
        <v>8.2799999999999999E-2</v>
      </c>
      <c r="D37" s="411">
        <v>7.9000000000000001E-2</v>
      </c>
      <c r="E37" s="411">
        <v>9.4800000000000009E-2</v>
      </c>
      <c r="F37" s="411">
        <v>8.900000000000001E-2</v>
      </c>
      <c r="G37" s="411">
        <v>0.10679999999999999</v>
      </c>
    </row>
    <row r="38" spans="1:7" ht="13.5" thickBot="1" x14ac:dyDescent="0.25">
      <c r="A38" s="33">
        <v>1100</v>
      </c>
      <c r="B38" s="410">
        <v>6.8600000000000008E-2</v>
      </c>
      <c r="C38" s="410">
        <v>8.2299999999999998E-2</v>
      </c>
      <c r="D38" s="410">
        <v>7.8600000000000003E-2</v>
      </c>
      <c r="E38" s="410">
        <v>9.4299999999999995E-2</v>
      </c>
      <c r="F38" s="410">
        <v>8.8599999999999998E-2</v>
      </c>
      <c r="G38" s="410">
        <v>0.10630000000000001</v>
      </c>
    </row>
    <row r="39" spans="1:7" ht="13.5" thickBot="1" x14ac:dyDescent="0.25">
      <c r="A39" s="32">
        <v>1200</v>
      </c>
      <c r="B39" s="411">
        <v>6.8199999999999997E-2</v>
      </c>
      <c r="C39" s="411">
        <v>8.1799999999999998E-2</v>
      </c>
      <c r="D39" s="411">
        <v>7.8200000000000006E-2</v>
      </c>
      <c r="E39" s="411">
        <v>9.3800000000000008E-2</v>
      </c>
      <c r="F39" s="411">
        <v>8.8200000000000001E-2</v>
      </c>
      <c r="G39" s="411">
        <v>0.10580000000000001</v>
      </c>
    </row>
    <row r="40" spans="1:7" ht="13.5" thickBot="1" x14ac:dyDescent="0.25">
      <c r="A40" s="33">
        <v>1300</v>
      </c>
      <c r="B40" s="410">
        <v>6.7799999999999999E-2</v>
      </c>
      <c r="C40" s="410">
        <v>8.14E-2</v>
      </c>
      <c r="D40" s="410">
        <v>7.7800000000000008E-2</v>
      </c>
      <c r="E40" s="410">
        <v>9.3399999999999997E-2</v>
      </c>
      <c r="F40" s="410">
        <v>8.7799999999999989E-2</v>
      </c>
      <c r="G40" s="410">
        <v>0.10539999999999999</v>
      </c>
    </row>
    <row r="41" spans="1:7" ht="13.5" thickBot="1" x14ac:dyDescent="0.25">
      <c r="A41" s="32">
        <v>1400</v>
      </c>
      <c r="B41" s="411">
        <v>6.7400000000000002E-2</v>
      </c>
      <c r="C41" s="411">
        <v>8.09E-2</v>
      </c>
      <c r="D41" s="411">
        <v>7.7399999999999997E-2</v>
      </c>
      <c r="E41" s="411">
        <v>9.2899999999999996E-2</v>
      </c>
      <c r="F41" s="411">
        <v>8.7499999999999994E-2</v>
      </c>
      <c r="G41" s="411">
        <v>0.105</v>
      </c>
    </row>
    <row r="42" spans="1:7" ht="13.5" thickBot="1" x14ac:dyDescent="0.25">
      <c r="A42" s="33">
        <v>1500</v>
      </c>
      <c r="B42" s="410">
        <v>6.7000000000000004E-2</v>
      </c>
      <c r="C42" s="410">
        <v>8.0399999999999985E-2</v>
      </c>
      <c r="D42" s="410">
        <v>7.6999999999999999E-2</v>
      </c>
      <c r="E42" s="410">
        <v>9.2399999999999996E-2</v>
      </c>
      <c r="F42" s="410">
        <v>8.7400000000000005E-2</v>
      </c>
      <c r="G42" s="410">
        <v>0.10490000000000001</v>
      </c>
    </row>
    <row r="43" spans="1:7" ht="13.5" thickBot="1" x14ac:dyDescent="0.25">
      <c r="A43" s="32">
        <v>1600</v>
      </c>
      <c r="B43" s="411">
        <v>6.6600000000000006E-2</v>
      </c>
      <c r="C43" s="411">
        <v>7.9899999999999999E-2</v>
      </c>
      <c r="D43" s="411">
        <v>7.6600000000000001E-2</v>
      </c>
      <c r="E43" s="411">
        <v>9.1899999999999996E-2</v>
      </c>
      <c r="F43" s="411">
        <v>8.6999999999999994E-2</v>
      </c>
      <c r="G43" s="411">
        <v>0.10439999999999999</v>
      </c>
    </row>
    <row r="44" spans="1:7" ht="13.5" thickBot="1" x14ac:dyDescent="0.25">
      <c r="A44" s="33">
        <v>1700</v>
      </c>
      <c r="B44" s="410">
        <v>6.6199999999999995E-2</v>
      </c>
      <c r="C44" s="410">
        <v>7.9399999999999998E-2</v>
      </c>
      <c r="D44" s="410">
        <v>7.6200000000000004E-2</v>
      </c>
      <c r="E44" s="410">
        <v>9.1400000000000009E-2</v>
      </c>
      <c r="F44" s="410">
        <v>8.6599999999999996E-2</v>
      </c>
      <c r="G44" s="410">
        <v>0.10390000000000001</v>
      </c>
    </row>
    <row r="45" spans="1:7" ht="13.5" thickBot="1" x14ac:dyDescent="0.25">
      <c r="A45" s="34">
        <v>1800</v>
      </c>
      <c r="B45" s="409">
        <v>6.5799999999999997E-2</v>
      </c>
      <c r="C45" s="409">
        <v>7.9000000000000001E-2</v>
      </c>
      <c r="D45" s="409">
        <v>7.5800000000000006E-2</v>
      </c>
      <c r="E45" s="409">
        <v>9.0999999999999998E-2</v>
      </c>
      <c r="F45" s="409">
        <v>8.6199999999999999E-2</v>
      </c>
      <c r="G45" s="409">
        <v>0.10339999999999999</v>
      </c>
    </row>
    <row r="46" spans="1:7" ht="13.5" thickBot="1" x14ac:dyDescent="0.25">
      <c r="A46" s="33">
        <v>1900</v>
      </c>
      <c r="B46" s="410">
        <v>6.54E-2</v>
      </c>
      <c r="C46" s="410">
        <v>7.85E-2</v>
      </c>
      <c r="D46" s="410">
        <v>7.5399999999999995E-2</v>
      </c>
      <c r="E46" s="410">
        <v>9.0500000000000011E-2</v>
      </c>
      <c r="F46" s="410">
        <v>8.5800000000000001E-2</v>
      </c>
      <c r="G46" s="410">
        <v>0.10300000000000001</v>
      </c>
    </row>
    <row r="47" spans="1:7" ht="13.5" thickBot="1" x14ac:dyDescent="0.25">
      <c r="A47" s="32">
        <v>2000</v>
      </c>
      <c r="B47" s="411">
        <v>6.5000000000000002E-2</v>
      </c>
      <c r="C47" s="411">
        <v>7.8E-2</v>
      </c>
      <c r="D47" s="411">
        <v>7.4999999999999997E-2</v>
      </c>
      <c r="E47" s="411">
        <v>0.09</v>
      </c>
      <c r="F47" s="411">
        <v>8.539999999999999E-2</v>
      </c>
      <c r="G47" s="411">
        <v>0.10249999999999999</v>
      </c>
    </row>
    <row r="48" spans="1:7" ht="13.5" thickBot="1" x14ac:dyDescent="0.25">
      <c r="A48" s="33">
        <v>2100</v>
      </c>
      <c r="B48" s="410">
        <v>6.480000000000001E-2</v>
      </c>
      <c r="C48" s="410">
        <v>7.7800000000000008E-2</v>
      </c>
      <c r="D48" s="410">
        <v>7.4800000000000005E-2</v>
      </c>
      <c r="E48" s="410">
        <v>8.9800000000000005E-2</v>
      </c>
      <c r="F48" s="410">
        <v>8.5000000000000006E-2</v>
      </c>
      <c r="G48" s="410">
        <v>0.10199999999999999</v>
      </c>
    </row>
    <row r="49" spans="1:7" ht="13.5" thickBot="1" x14ac:dyDescent="0.25">
      <c r="A49" s="32">
        <v>2200</v>
      </c>
      <c r="B49" s="411">
        <v>6.4600000000000005E-2</v>
      </c>
      <c r="C49" s="411">
        <v>7.7499999999999999E-2</v>
      </c>
      <c r="D49" s="411">
        <v>7.46E-2</v>
      </c>
      <c r="E49" s="411">
        <v>8.9499999999999996E-2</v>
      </c>
      <c r="F49" s="411">
        <v>8.48E-2</v>
      </c>
      <c r="G49" s="411">
        <v>0.1018</v>
      </c>
    </row>
    <row r="50" spans="1:7" ht="13.5" thickBot="1" x14ac:dyDescent="0.25">
      <c r="A50" s="33">
        <v>2300</v>
      </c>
      <c r="B50" s="410">
        <v>6.4199999999999993E-2</v>
      </c>
      <c r="C50" s="410">
        <v>7.6999999999999999E-2</v>
      </c>
      <c r="D50" s="410">
        <v>7.4200000000000002E-2</v>
      </c>
      <c r="E50" s="410">
        <v>8.900000000000001E-2</v>
      </c>
      <c r="F50" s="410">
        <v>8.4600000000000009E-2</v>
      </c>
      <c r="G50" s="410">
        <v>0.10150000000000001</v>
      </c>
    </row>
    <row r="51" spans="1:7" ht="13.5" thickBot="1" x14ac:dyDescent="0.25">
      <c r="A51" s="32">
        <v>2400</v>
      </c>
      <c r="B51" s="411">
        <v>6.4000000000000001E-2</v>
      </c>
      <c r="C51" s="411">
        <v>7.6799999999999993E-2</v>
      </c>
      <c r="D51" s="411">
        <v>7.400000000000001E-2</v>
      </c>
      <c r="E51" s="411">
        <v>8.8800000000000004E-2</v>
      </c>
      <c r="F51" s="411">
        <v>8.4199999999999997E-2</v>
      </c>
      <c r="G51" s="411">
        <v>0.10099999999999999</v>
      </c>
    </row>
    <row r="52" spans="1:7" ht="13.5" thickBot="1" x14ac:dyDescent="0.25">
      <c r="A52" s="33">
        <v>2500</v>
      </c>
      <c r="B52" s="410">
        <v>6.3799999999999996E-2</v>
      </c>
      <c r="C52" s="410">
        <v>7.6600000000000001E-2</v>
      </c>
      <c r="D52" s="410">
        <v>7.3800000000000004E-2</v>
      </c>
      <c r="E52" s="410">
        <v>8.8599999999999998E-2</v>
      </c>
      <c r="F52" s="410">
        <v>8.4000000000000005E-2</v>
      </c>
      <c r="G52" s="410">
        <v>0.1008</v>
      </c>
    </row>
    <row r="53" spans="1:7" ht="13.5" thickBot="1" x14ac:dyDescent="0.25">
      <c r="A53" s="32">
        <v>2600</v>
      </c>
      <c r="B53" s="411">
        <v>6.3600000000000004E-2</v>
      </c>
      <c r="C53" s="411">
        <v>7.6299999999999993E-2</v>
      </c>
      <c r="D53" s="411">
        <v>7.3599999999999999E-2</v>
      </c>
      <c r="E53" s="411">
        <v>8.8300000000000003E-2</v>
      </c>
      <c r="F53" s="411">
        <v>8.3800000000000013E-2</v>
      </c>
      <c r="G53" s="411">
        <v>0.10060000000000001</v>
      </c>
    </row>
    <row r="54" spans="1:7" ht="13.5" thickBot="1" x14ac:dyDescent="0.25">
      <c r="A54" s="33">
        <v>2700</v>
      </c>
      <c r="B54" s="410">
        <v>6.3399999999999998E-2</v>
      </c>
      <c r="C54" s="410">
        <v>7.6100000000000001E-2</v>
      </c>
      <c r="D54" s="410">
        <v>7.3399999999999993E-2</v>
      </c>
      <c r="E54" s="410">
        <v>8.8100000000000012E-2</v>
      </c>
      <c r="F54" s="410">
        <v>8.3599999999999994E-2</v>
      </c>
      <c r="G54" s="410">
        <v>0.1003</v>
      </c>
    </row>
    <row r="55" spans="1:7" ht="13.5" thickBot="1" x14ac:dyDescent="0.25">
      <c r="A55" s="32">
        <v>2800</v>
      </c>
      <c r="B55" s="411">
        <v>6.3200000000000006E-2</v>
      </c>
      <c r="C55" s="411">
        <v>7.5800000000000006E-2</v>
      </c>
      <c r="D55" s="411">
        <v>7.3200000000000001E-2</v>
      </c>
      <c r="E55" s="411">
        <v>8.7799999999999989E-2</v>
      </c>
      <c r="F55" s="411">
        <v>8.3400000000000002E-2</v>
      </c>
      <c r="G55" s="411">
        <v>0.10009999999999999</v>
      </c>
    </row>
    <row r="56" spans="1:7" ht="13.5" thickBot="1" x14ac:dyDescent="0.25">
      <c r="A56" s="33">
        <v>2900</v>
      </c>
      <c r="B56" s="410">
        <v>6.3E-2</v>
      </c>
      <c r="C56" s="410">
        <v>7.5600000000000001E-2</v>
      </c>
      <c r="D56" s="410">
        <v>7.2999999999999995E-2</v>
      </c>
      <c r="E56" s="410">
        <v>8.7599999999999997E-2</v>
      </c>
      <c r="F56" s="410">
        <v>8.3000000000000004E-2</v>
      </c>
      <c r="G56" s="410">
        <v>9.9600000000000008E-2</v>
      </c>
    </row>
    <row r="57" spans="1:7" ht="13.5" thickBot="1" x14ac:dyDescent="0.25">
      <c r="A57" s="32">
        <v>3000</v>
      </c>
      <c r="B57" s="411">
        <v>6.2800000000000009E-2</v>
      </c>
      <c r="C57" s="411">
        <v>7.5399999999999995E-2</v>
      </c>
      <c r="D57" s="411">
        <v>7.2800000000000004E-2</v>
      </c>
      <c r="E57" s="411">
        <v>8.7400000000000005E-2</v>
      </c>
      <c r="F57" s="411">
        <v>8.2799999999999999E-2</v>
      </c>
      <c r="G57" s="411">
        <v>9.9399999999999988E-2</v>
      </c>
    </row>
    <row r="58" spans="1:7" ht="13.5" thickBot="1" x14ac:dyDescent="0.25">
      <c r="A58" s="33">
        <v>3100</v>
      </c>
      <c r="B58" s="410">
        <v>6.2600000000000003E-2</v>
      </c>
      <c r="C58" s="410">
        <v>7.51E-2</v>
      </c>
      <c r="D58" s="410">
        <v>7.2599999999999998E-2</v>
      </c>
      <c r="E58" s="410">
        <v>8.7100000000000011E-2</v>
      </c>
      <c r="F58" s="410">
        <v>8.2599999999999993E-2</v>
      </c>
      <c r="G58" s="410">
        <v>9.9100000000000008E-2</v>
      </c>
    </row>
    <row r="59" spans="1:7" ht="13.5" thickBot="1" x14ac:dyDescent="0.25">
      <c r="A59" s="32">
        <v>3200</v>
      </c>
      <c r="B59" s="411">
        <v>6.2400000000000004E-2</v>
      </c>
      <c r="C59" s="411">
        <v>7.4900000000000008E-2</v>
      </c>
      <c r="D59" s="411">
        <v>7.2400000000000006E-2</v>
      </c>
      <c r="E59" s="411">
        <v>8.6899999999999991E-2</v>
      </c>
      <c r="F59" s="411">
        <v>8.2400000000000001E-2</v>
      </c>
      <c r="G59" s="411">
        <v>9.8900000000000002E-2</v>
      </c>
    </row>
    <row r="60" spans="1:7" ht="13.5" thickBot="1" x14ac:dyDescent="0.25">
      <c r="A60" s="33">
        <v>3300</v>
      </c>
      <c r="B60" s="410">
        <v>6.2199999999999998E-2</v>
      </c>
      <c r="C60" s="410">
        <v>7.46E-2</v>
      </c>
      <c r="D60" s="410">
        <v>7.22E-2</v>
      </c>
      <c r="E60" s="410">
        <v>8.6599999999999996E-2</v>
      </c>
      <c r="F60" s="410">
        <v>8.2200000000000009E-2</v>
      </c>
      <c r="G60" s="410">
        <v>9.8599999999999993E-2</v>
      </c>
    </row>
    <row r="61" spans="1:7" ht="13.5" thickBot="1" x14ac:dyDescent="0.25">
      <c r="A61" s="32">
        <v>3400</v>
      </c>
      <c r="B61" s="411">
        <v>6.2E-2</v>
      </c>
      <c r="C61" s="411">
        <v>7.4400000000000008E-2</v>
      </c>
      <c r="D61" s="411">
        <v>7.2000000000000008E-2</v>
      </c>
      <c r="E61" s="411">
        <v>8.6400000000000005E-2</v>
      </c>
      <c r="F61" s="411">
        <v>8.199999999999999E-2</v>
      </c>
      <c r="G61" s="411">
        <v>9.8400000000000001E-2</v>
      </c>
    </row>
    <row r="62" spans="1:7" ht="13.5" thickBot="1" x14ac:dyDescent="0.25">
      <c r="A62" s="33">
        <v>3500</v>
      </c>
      <c r="B62" s="410">
        <v>6.1900000000000004E-2</v>
      </c>
      <c r="C62" s="410">
        <v>7.4299999999999991E-2</v>
      </c>
      <c r="D62" s="410">
        <v>7.1900000000000006E-2</v>
      </c>
      <c r="E62" s="410">
        <v>8.6300000000000002E-2</v>
      </c>
      <c r="F62" s="410">
        <v>8.1900000000000001E-2</v>
      </c>
      <c r="G62" s="410">
        <v>9.8299999999999998E-2</v>
      </c>
    </row>
    <row r="63" spans="1:7" ht="13.5" thickBot="1" x14ac:dyDescent="0.25">
      <c r="A63" s="32">
        <v>3600</v>
      </c>
      <c r="B63" s="411">
        <v>6.1799999999999994E-2</v>
      </c>
      <c r="C63" s="411">
        <v>7.4200000000000002E-2</v>
      </c>
      <c r="D63" s="411">
        <v>7.1800000000000003E-2</v>
      </c>
      <c r="E63" s="411">
        <v>8.6199999999999999E-2</v>
      </c>
      <c r="F63" s="411">
        <v>8.1799999999999998E-2</v>
      </c>
      <c r="G63" s="411">
        <v>9.820000000000001E-2</v>
      </c>
    </row>
    <row r="64" spans="1:7" ht="13.5" thickBot="1" x14ac:dyDescent="0.25">
      <c r="A64" s="33">
        <v>3700</v>
      </c>
      <c r="B64" s="410">
        <v>6.1699999999999998E-2</v>
      </c>
      <c r="C64" s="410">
        <v>7.400000000000001E-2</v>
      </c>
      <c r="D64" s="410">
        <v>7.17E-2</v>
      </c>
      <c r="E64" s="410">
        <v>8.5999999999999993E-2</v>
      </c>
      <c r="F64" s="410">
        <v>8.1699999999999995E-2</v>
      </c>
      <c r="G64" s="410">
        <v>9.8000000000000004E-2</v>
      </c>
    </row>
    <row r="65" spans="1:7" ht="13.5" thickBot="1" x14ac:dyDescent="0.25">
      <c r="A65" s="32">
        <v>3800</v>
      </c>
      <c r="B65" s="411">
        <v>6.1600000000000002E-2</v>
      </c>
      <c r="C65" s="411">
        <v>7.3899999999999993E-2</v>
      </c>
      <c r="D65" s="411">
        <v>7.1599999999999997E-2</v>
      </c>
      <c r="E65" s="411">
        <v>8.5900000000000004E-2</v>
      </c>
      <c r="F65" s="411">
        <v>8.1600000000000006E-2</v>
      </c>
      <c r="G65" s="411">
        <v>9.7899999999999987E-2</v>
      </c>
    </row>
    <row r="66" spans="1:7" ht="13.5" thickBot="1" x14ac:dyDescent="0.25">
      <c r="A66" s="33">
        <v>3900</v>
      </c>
      <c r="B66" s="410">
        <v>6.1500000000000006E-2</v>
      </c>
      <c r="C66" s="410">
        <v>7.3800000000000004E-2</v>
      </c>
      <c r="D66" s="410">
        <v>7.1500000000000008E-2</v>
      </c>
      <c r="E66" s="410">
        <v>8.5800000000000001E-2</v>
      </c>
      <c r="F66" s="410">
        <v>8.1500000000000003E-2</v>
      </c>
      <c r="G66" s="410">
        <v>9.7799999999999998E-2</v>
      </c>
    </row>
    <row r="67" spans="1:7" ht="13.5" thickBot="1" x14ac:dyDescent="0.25">
      <c r="A67" s="32">
        <v>4000</v>
      </c>
      <c r="B67" s="411">
        <v>6.1399999999999996E-2</v>
      </c>
      <c r="C67" s="411">
        <v>7.3700000000000002E-2</v>
      </c>
      <c r="D67" s="411">
        <v>7.1399999999999991E-2</v>
      </c>
      <c r="E67" s="411">
        <v>8.5699999999999998E-2</v>
      </c>
      <c r="F67" s="411">
        <v>8.14E-2</v>
      </c>
      <c r="G67" s="411">
        <v>9.7699999999999995E-2</v>
      </c>
    </row>
    <row r="68" spans="1:7" ht="13.5" thickBot="1" x14ac:dyDescent="0.25">
      <c r="A68" s="33">
        <v>4100</v>
      </c>
      <c r="B68" s="410">
        <v>6.1399999999999996E-2</v>
      </c>
      <c r="C68" s="410">
        <v>7.3599999999999999E-2</v>
      </c>
      <c r="D68" s="410">
        <v>7.1399999999999991E-2</v>
      </c>
      <c r="E68" s="410">
        <v>8.5600000000000009E-2</v>
      </c>
      <c r="F68" s="410">
        <v>8.14E-2</v>
      </c>
      <c r="G68" s="410">
        <v>9.7599999999999992E-2</v>
      </c>
    </row>
    <row r="69" spans="1:7" ht="13.5" thickBot="1" x14ac:dyDescent="0.25">
      <c r="A69" s="32">
        <v>4200</v>
      </c>
      <c r="B69" s="411">
        <v>6.13E-2</v>
      </c>
      <c r="C69" s="411">
        <v>7.3599999999999999E-2</v>
      </c>
      <c r="D69" s="411">
        <v>7.1300000000000002E-2</v>
      </c>
      <c r="E69" s="411">
        <v>8.5600000000000009E-2</v>
      </c>
      <c r="F69" s="411">
        <v>8.1300000000000011E-2</v>
      </c>
      <c r="G69" s="411">
        <v>9.7599999999999992E-2</v>
      </c>
    </row>
    <row r="70" spans="1:7" ht="13.5" thickBot="1" x14ac:dyDescent="0.25">
      <c r="A70" s="33">
        <v>4300</v>
      </c>
      <c r="B70" s="410">
        <v>6.13E-2</v>
      </c>
      <c r="C70" s="410">
        <v>7.3499999999999996E-2</v>
      </c>
      <c r="D70" s="410">
        <v>7.1300000000000002E-2</v>
      </c>
      <c r="E70" s="410">
        <v>8.5500000000000007E-2</v>
      </c>
      <c r="F70" s="410">
        <v>8.1300000000000011E-2</v>
      </c>
      <c r="G70" s="410">
        <v>9.7500000000000003E-2</v>
      </c>
    </row>
    <row r="71" spans="1:7" ht="13.5" thickBot="1" x14ac:dyDescent="0.25">
      <c r="A71" s="32">
        <v>4400</v>
      </c>
      <c r="B71" s="411">
        <v>6.1200000000000004E-2</v>
      </c>
      <c r="C71" s="411">
        <v>7.3399999999999993E-2</v>
      </c>
      <c r="D71" s="411">
        <v>7.1199999999999999E-2</v>
      </c>
      <c r="E71" s="411">
        <v>8.539999999999999E-2</v>
      </c>
      <c r="F71" s="411">
        <v>8.1199999999999994E-2</v>
      </c>
      <c r="G71" s="411">
        <v>9.74E-2</v>
      </c>
    </row>
    <row r="72" spans="1:7" ht="13.5" thickBot="1" x14ac:dyDescent="0.25">
      <c r="A72" s="33">
        <v>4500</v>
      </c>
      <c r="B72" s="410">
        <v>6.1100000000000002E-2</v>
      </c>
      <c r="C72" s="410">
        <v>7.3300000000000004E-2</v>
      </c>
      <c r="D72" s="410">
        <v>7.1099999999999997E-2</v>
      </c>
      <c r="E72" s="410">
        <v>8.5299999999999987E-2</v>
      </c>
      <c r="F72" s="410">
        <v>8.1099999999999992E-2</v>
      </c>
      <c r="G72" s="410">
        <v>9.7299999999999998E-2</v>
      </c>
    </row>
    <row r="73" spans="1:7" ht="13.5" thickBot="1" x14ac:dyDescent="0.25">
      <c r="A73" s="32">
        <v>4600</v>
      </c>
      <c r="B73" s="411">
        <v>6.0999999999999999E-2</v>
      </c>
      <c r="C73" s="411">
        <v>7.3200000000000001E-2</v>
      </c>
      <c r="D73" s="411">
        <v>7.0999999999999994E-2</v>
      </c>
      <c r="E73" s="411">
        <v>8.5199999999999998E-2</v>
      </c>
      <c r="F73" s="411">
        <v>8.1000000000000003E-2</v>
      </c>
      <c r="G73" s="411">
        <v>9.7200000000000009E-2</v>
      </c>
    </row>
    <row r="74" spans="1:7" ht="13.5" thickBot="1" x14ac:dyDescent="0.25">
      <c r="A74" s="35">
        <v>4700</v>
      </c>
      <c r="B74" s="412">
        <v>6.0499999999999998E-2</v>
      </c>
      <c r="C74" s="412">
        <v>7.2599999999999998E-2</v>
      </c>
      <c r="D74" s="412">
        <v>7.0499999999999993E-2</v>
      </c>
      <c r="E74" s="412">
        <v>8.4600000000000009E-2</v>
      </c>
      <c r="F74" s="412">
        <v>8.0500000000000002E-2</v>
      </c>
      <c r="G74" s="412">
        <v>9.6600000000000005E-2</v>
      </c>
    </row>
    <row r="75" spans="1:7" ht="13.5" thickBot="1" x14ac:dyDescent="0.25">
      <c r="A75" s="36">
        <v>4800</v>
      </c>
      <c r="B75" s="413">
        <v>6.0199999999999997E-2</v>
      </c>
      <c r="C75" s="413">
        <v>7.22E-2</v>
      </c>
      <c r="D75" s="413">
        <v>7.0199999999999999E-2</v>
      </c>
      <c r="E75" s="413">
        <v>8.4199999999999997E-2</v>
      </c>
      <c r="F75" s="413">
        <v>8.0199999999999994E-2</v>
      </c>
      <c r="G75" s="413">
        <v>9.6199999999999994E-2</v>
      </c>
    </row>
    <row r="76" spans="1:7" ht="13.5" thickBot="1" x14ac:dyDescent="0.25">
      <c r="A76" s="33">
        <v>4900</v>
      </c>
      <c r="B76" s="410">
        <v>6.0100000000000001E-2</v>
      </c>
      <c r="C76" s="410">
        <v>7.2099999999999997E-2</v>
      </c>
      <c r="D76" s="410">
        <v>7.0099999999999996E-2</v>
      </c>
      <c r="E76" s="410">
        <v>8.4100000000000008E-2</v>
      </c>
      <c r="F76" s="410">
        <v>8.0100000000000005E-2</v>
      </c>
      <c r="G76" s="410">
        <v>9.6099999999999991E-2</v>
      </c>
    </row>
    <row r="77" spans="1:7" ht="13.5" thickBot="1" x14ac:dyDescent="0.25">
      <c r="A77" s="36">
        <v>5000</v>
      </c>
      <c r="B77" s="413">
        <v>5.9500000000000004E-2</v>
      </c>
      <c r="C77" s="413">
        <v>7.1399999999999991E-2</v>
      </c>
      <c r="D77" s="413">
        <v>6.9500000000000006E-2</v>
      </c>
      <c r="E77" s="413">
        <v>8.3400000000000002E-2</v>
      </c>
      <c r="F77" s="413">
        <v>7.9500000000000001E-2</v>
      </c>
      <c r="G77" s="413">
        <v>9.5399999999999985E-2</v>
      </c>
    </row>
    <row r="78" spans="1:7" ht="13.5" thickBot="1" x14ac:dyDescent="0.25">
      <c r="A78" s="33">
        <v>6000</v>
      </c>
      <c r="B78" s="410">
        <v>5.9299999999999999E-2</v>
      </c>
      <c r="C78" s="410">
        <v>7.1099999999999997E-2</v>
      </c>
      <c r="D78" s="410">
        <v>6.93E-2</v>
      </c>
      <c r="E78" s="410">
        <v>8.3100000000000007E-2</v>
      </c>
      <c r="F78" s="410">
        <v>7.9299999999999995E-2</v>
      </c>
      <c r="G78" s="410">
        <v>9.5100000000000004E-2</v>
      </c>
    </row>
    <row r="79" spans="1:7" ht="13.5" thickBot="1" x14ac:dyDescent="0.25">
      <c r="A79" s="36">
        <v>7000</v>
      </c>
      <c r="B79" s="413">
        <v>5.9000000000000004E-2</v>
      </c>
      <c r="C79" s="413">
        <v>7.0800000000000002E-2</v>
      </c>
      <c r="D79" s="413">
        <v>6.9000000000000006E-2</v>
      </c>
      <c r="E79" s="413">
        <v>8.2799999999999999E-2</v>
      </c>
      <c r="F79" s="413">
        <v>7.9000000000000001E-2</v>
      </c>
      <c r="G79" s="413">
        <v>9.4800000000000009E-2</v>
      </c>
    </row>
    <row r="80" spans="1:7" ht="13.5" thickBot="1" x14ac:dyDescent="0.25">
      <c r="A80" s="33">
        <v>8000</v>
      </c>
      <c r="B80" s="410">
        <v>5.8799999999999998E-2</v>
      </c>
      <c r="C80" s="410">
        <v>7.0499999999999993E-2</v>
      </c>
      <c r="D80" s="410">
        <v>6.88E-2</v>
      </c>
      <c r="E80" s="410">
        <v>8.2500000000000004E-2</v>
      </c>
      <c r="F80" s="410">
        <v>7.8799999999999995E-2</v>
      </c>
      <c r="G80" s="410">
        <v>9.4499999999999987E-2</v>
      </c>
    </row>
    <row r="81" spans="1:7" ht="13.5" thickBot="1" x14ac:dyDescent="0.25">
      <c r="A81" s="36">
        <v>9000</v>
      </c>
      <c r="B81" s="413">
        <v>5.8499999999999996E-2</v>
      </c>
      <c r="C81" s="413">
        <v>7.0199999999999999E-2</v>
      </c>
      <c r="D81" s="413">
        <v>6.8499999999999991E-2</v>
      </c>
      <c r="E81" s="413">
        <v>8.2200000000000009E-2</v>
      </c>
      <c r="F81" s="413">
        <v>7.85E-2</v>
      </c>
      <c r="G81" s="413">
        <v>9.4200000000000006E-2</v>
      </c>
    </row>
    <row r="82" spans="1:7" ht="13.5" thickBot="1" x14ac:dyDescent="0.25">
      <c r="A82" s="33">
        <v>10000</v>
      </c>
      <c r="B82" s="410">
        <v>5.7999999999999996E-2</v>
      </c>
      <c r="C82" s="410">
        <v>6.9599999999999995E-2</v>
      </c>
      <c r="D82" s="410">
        <v>6.8000000000000005E-2</v>
      </c>
      <c r="E82" s="410">
        <v>8.1600000000000006E-2</v>
      </c>
      <c r="F82" s="410">
        <v>7.8E-2</v>
      </c>
      <c r="G82" s="410">
        <v>9.3599999999999989E-2</v>
      </c>
    </row>
    <row r="83" spans="1:7" ht="13.5" thickBot="1" x14ac:dyDescent="0.25">
      <c r="A83" s="36">
        <v>12000</v>
      </c>
      <c r="B83" s="414">
        <v>5.7999999999999996E-2</v>
      </c>
      <c r="C83" s="414">
        <v>6.9599999999999995E-2</v>
      </c>
      <c r="D83" s="413">
        <v>6.7799999999999999E-2</v>
      </c>
      <c r="E83" s="413">
        <v>8.1300000000000011E-2</v>
      </c>
      <c r="F83" s="413">
        <v>7.5999999999999998E-2</v>
      </c>
      <c r="G83" s="413">
        <v>9.1199999999999989E-2</v>
      </c>
    </row>
    <row r="84" spans="1:7" ht="13.5" thickBot="1" x14ac:dyDescent="0.25">
      <c r="A84" s="33">
        <v>14000</v>
      </c>
      <c r="B84" s="415">
        <v>5.7999999999999996E-2</v>
      </c>
      <c r="C84" s="415">
        <v>6.9599999999999995E-2</v>
      </c>
      <c r="D84" s="410">
        <v>6.7500000000000004E-2</v>
      </c>
      <c r="E84" s="410">
        <v>8.1000000000000003E-2</v>
      </c>
      <c r="F84" s="410">
        <v>7.400000000000001E-2</v>
      </c>
      <c r="G84" s="410">
        <v>8.8800000000000004E-2</v>
      </c>
    </row>
    <row r="85" spans="1:7" ht="13.5" thickBot="1" x14ac:dyDescent="0.25">
      <c r="A85" s="36">
        <v>15000</v>
      </c>
      <c r="B85" s="413">
        <v>5.5999999999999994E-2</v>
      </c>
      <c r="C85" s="413">
        <v>6.7199999999999996E-2</v>
      </c>
      <c r="D85" s="414">
        <v>6.7500000000000004E-2</v>
      </c>
      <c r="E85" s="414">
        <v>8.1000000000000003E-2</v>
      </c>
      <c r="F85" s="414">
        <v>7.400000000000001E-2</v>
      </c>
      <c r="G85" s="414">
        <v>8.8800000000000004E-2</v>
      </c>
    </row>
    <row r="86" spans="1:7" ht="13.5" thickBot="1" x14ac:dyDescent="0.25">
      <c r="A86" s="33">
        <v>16000</v>
      </c>
      <c r="B86" s="415">
        <v>5.5999999999999994E-2</v>
      </c>
      <c r="C86" s="415">
        <v>6.7199999999999996E-2</v>
      </c>
      <c r="D86" s="410">
        <v>6.7299999999999999E-2</v>
      </c>
      <c r="E86" s="410">
        <v>8.0700000000000008E-2</v>
      </c>
      <c r="F86" s="410">
        <v>7.2000000000000008E-2</v>
      </c>
      <c r="G86" s="410">
        <v>8.6400000000000005E-2</v>
      </c>
    </row>
    <row r="87" spans="1:7" ht="13.5" thickBot="1" x14ac:dyDescent="0.25">
      <c r="A87" s="36">
        <v>18000</v>
      </c>
      <c r="B87" s="414">
        <v>5.5999999999999994E-2</v>
      </c>
      <c r="C87" s="414">
        <v>6.7199999999999996E-2</v>
      </c>
      <c r="D87" s="413">
        <v>6.7000000000000004E-2</v>
      </c>
      <c r="E87" s="413">
        <v>8.0399999999999985E-2</v>
      </c>
      <c r="F87" s="414">
        <v>7.2000000000000008E-2</v>
      </c>
      <c r="G87" s="414">
        <v>8.6400000000000005E-2</v>
      </c>
    </row>
    <row r="88" spans="1:7" ht="13.5" thickBot="1" x14ac:dyDescent="0.25">
      <c r="A88" s="33">
        <v>20000</v>
      </c>
      <c r="B88" s="410">
        <v>5.4000000000000006E-2</v>
      </c>
      <c r="C88" s="410">
        <v>6.480000000000001E-2</v>
      </c>
      <c r="D88" s="410">
        <v>6.6799999999999998E-2</v>
      </c>
      <c r="E88" s="410">
        <v>8.0100000000000005E-2</v>
      </c>
      <c r="F88" s="415">
        <v>7.2000000000000008E-2</v>
      </c>
      <c r="G88" s="415">
        <v>8.6400000000000005E-2</v>
      </c>
    </row>
    <row r="89" spans="1:7" ht="13.5" thickBot="1" x14ac:dyDescent="0.25">
      <c r="A89" s="36">
        <v>22000</v>
      </c>
      <c r="B89" s="414">
        <v>5.4000000000000006E-2</v>
      </c>
      <c r="C89" s="414">
        <v>6.480000000000001E-2</v>
      </c>
      <c r="D89" s="413">
        <v>6.6500000000000004E-2</v>
      </c>
      <c r="E89" s="413">
        <v>7.980000000000001E-2</v>
      </c>
      <c r="F89" s="414">
        <v>7.2000000000000008E-2</v>
      </c>
      <c r="G89" s="414">
        <v>8.6400000000000005E-2</v>
      </c>
    </row>
    <row r="90" spans="1:7" ht="13.5" thickBot="1" x14ac:dyDescent="0.25">
      <c r="A90" s="33">
        <v>24000</v>
      </c>
      <c r="B90" s="415">
        <v>5.4000000000000006E-2</v>
      </c>
      <c r="C90" s="415">
        <v>6.480000000000001E-2</v>
      </c>
      <c r="D90" s="410">
        <v>6.6199999999999995E-2</v>
      </c>
      <c r="E90" s="410">
        <v>7.9399999999999998E-2</v>
      </c>
      <c r="F90" s="415">
        <v>7.2000000000000008E-2</v>
      </c>
      <c r="G90" s="415">
        <v>8.6400000000000005E-2</v>
      </c>
    </row>
    <row r="91" spans="1:7" ht="13.5" thickBot="1" x14ac:dyDescent="0.25">
      <c r="A91" s="36">
        <v>25000</v>
      </c>
      <c r="B91" s="413">
        <v>5.2000000000000005E-2</v>
      </c>
      <c r="C91" s="413">
        <v>6.2400000000000004E-2</v>
      </c>
      <c r="D91" s="414">
        <v>6.6199999999999995E-2</v>
      </c>
      <c r="E91" s="414">
        <v>7.9399999999999998E-2</v>
      </c>
      <c r="F91" s="414">
        <v>7.2000000000000008E-2</v>
      </c>
      <c r="G91" s="414">
        <v>8.6400000000000005E-2</v>
      </c>
    </row>
    <row r="92" spans="1:7" ht="13.5" thickBot="1" x14ac:dyDescent="0.25">
      <c r="A92" s="33">
        <v>26000</v>
      </c>
      <c r="B92" s="415">
        <v>5.2000000000000005E-2</v>
      </c>
      <c r="C92" s="415">
        <v>6.2400000000000004E-2</v>
      </c>
      <c r="D92" s="410">
        <v>6.6000000000000003E-2</v>
      </c>
      <c r="E92" s="410">
        <v>7.9199999999999993E-2</v>
      </c>
      <c r="F92" s="415">
        <v>7.2000000000000008E-2</v>
      </c>
      <c r="G92" s="415">
        <v>8.6400000000000005E-2</v>
      </c>
    </row>
    <row r="93" spans="1:7" ht="13.5" thickBot="1" x14ac:dyDescent="0.25">
      <c r="A93" s="36">
        <v>30000</v>
      </c>
      <c r="B93" s="414">
        <v>5.2000000000000005E-2</v>
      </c>
      <c r="C93" s="414">
        <v>6.2400000000000004E-2</v>
      </c>
      <c r="D93" s="413">
        <v>6.5799999999999997E-2</v>
      </c>
      <c r="E93" s="413">
        <v>7.8899999999999998E-2</v>
      </c>
      <c r="F93" s="414">
        <v>7.2000000000000008E-2</v>
      </c>
      <c r="G93" s="414">
        <v>8.6400000000000005E-2</v>
      </c>
    </row>
    <row r="94" spans="1:7" ht="13.5" thickBot="1" x14ac:dyDescent="0.25">
      <c r="A94" s="33">
        <v>35000</v>
      </c>
      <c r="B94" s="415">
        <v>5.2000000000000005E-2</v>
      </c>
      <c r="C94" s="415">
        <v>6.2400000000000004E-2</v>
      </c>
      <c r="D94" s="410">
        <v>6.5500000000000003E-2</v>
      </c>
      <c r="E94" s="410">
        <v>7.8600000000000003E-2</v>
      </c>
      <c r="F94" s="415">
        <v>7.2000000000000008E-2</v>
      </c>
      <c r="G94" s="415">
        <v>8.6400000000000005E-2</v>
      </c>
    </row>
    <row r="95" spans="1:7" ht="13.5" thickBot="1" x14ac:dyDescent="0.25">
      <c r="A95" s="36">
        <v>40000</v>
      </c>
      <c r="B95" s="414">
        <v>5.2000000000000005E-2</v>
      </c>
      <c r="C95" s="414">
        <v>6.2400000000000004E-2</v>
      </c>
      <c r="D95" s="413">
        <v>6.5000000000000002E-2</v>
      </c>
      <c r="E95" s="413">
        <v>7.8E-2</v>
      </c>
      <c r="F95" s="414">
        <v>7.2000000000000008E-2</v>
      </c>
      <c r="G95" s="414">
        <v>8.6400000000000005E-2</v>
      </c>
    </row>
    <row r="96" spans="1:7" ht="13.5" thickBot="1" x14ac:dyDescent="0.25">
      <c r="A96" s="33">
        <v>60000</v>
      </c>
      <c r="B96" s="410">
        <v>4.9500000000000002E-2</v>
      </c>
      <c r="C96" s="410">
        <v>5.9400000000000001E-2</v>
      </c>
      <c r="D96" s="415">
        <v>6.5000000000000002E-2</v>
      </c>
      <c r="E96" s="415">
        <v>7.8E-2</v>
      </c>
      <c r="F96" s="415">
        <v>7.2000000000000008E-2</v>
      </c>
      <c r="G96" s="415">
        <v>8.6400000000000005E-2</v>
      </c>
    </row>
    <row r="97" spans="1:7" ht="13.5" thickBot="1" x14ac:dyDescent="0.25">
      <c r="A97" s="36">
        <v>70000</v>
      </c>
      <c r="B97" s="413">
        <v>4.8499999999999995E-2</v>
      </c>
      <c r="C97" s="413">
        <v>5.8200000000000002E-2</v>
      </c>
      <c r="D97" s="414">
        <v>6.5000000000000002E-2</v>
      </c>
      <c r="E97" s="414">
        <v>7.8E-2</v>
      </c>
      <c r="F97" s="414">
        <v>7.2000000000000008E-2</v>
      </c>
      <c r="G97" s="414">
        <v>8.6400000000000005E-2</v>
      </c>
    </row>
    <row r="98" spans="1:7" ht="13.5" thickBot="1" x14ac:dyDescent="0.25">
      <c r="A98" s="33">
        <v>80000</v>
      </c>
      <c r="B98" s="410">
        <v>4.7500000000000001E-2</v>
      </c>
      <c r="C98" s="410">
        <v>5.7000000000000002E-2</v>
      </c>
      <c r="D98" s="415">
        <v>6.5000000000000002E-2</v>
      </c>
      <c r="E98" s="415">
        <v>7.8E-2</v>
      </c>
      <c r="F98" s="415">
        <v>7.2000000000000008E-2</v>
      </c>
      <c r="G98" s="415">
        <v>8.6400000000000005E-2</v>
      </c>
    </row>
  </sheetData>
  <phoneticPr fontId="0" type="noConversion"/>
  <pageMargins left="0.25" right="0.39374999999999999" top="0.75" bottom="0.75" header="0.3" footer="0.3"/>
  <pageSetup scale="79" fitToHeight="0" orientation="portrait" r:id="rId1"/>
  <headerFooter>
    <oddHeader>&amp;LPrinted  &amp;D  &amp;T&amp;R&amp;P</oddHeader>
    <oddFooter>&amp;L&amp;F&amp;C&amp;A&amp;RBudget Version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
    <tabColor theme="7" tint="-0.499984740745262"/>
  </sheetPr>
  <dimension ref="A1:Q85"/>
  <sheetViews>
    <sheetView zoomScale="130" zoomScaleNormal="130" workbookViewId="0">
      <selection activeCell="C4" sqref="C4"/>
    </sheetView>
  </sheetViews>
  <sheetFormatPr defaultColWidth="9.140625" defaultRowHeight="12.75" x14ac:dyDescent="0.2"/>
  <cols>
    <col min="1" max="1" width="42.140625" style="47" customWidth="1"/>
    <col min="2" max="2" width="19" style="70" customWidth="1"/>
    <col min="3" max="3" width="19" style="71" customWidth="1"/>
    <col min="4" max="5" width="19" style="47" customWidth="1"/>
    <col min="6" max="7" width="18.85546875" style="47" customWidth="1"/>
    <col min="8" max="8" width="24.42578125" style="47" bestFit="1" customWidth="1"/>
    <col min="9" max="10" width="19" style="47" bestFit="1" customWidth="1"/>
    <col min="11" max="11" width="22.7109375" style="47" bestFit="1" customWidth="1"/>
    <col min="12" max="17" width="19" style="47" bestFit="1" customWidth="1"/>
    <col min="18" max="18" width="7.28515625" style="47" bestFit="1" customWidth="1"/>
    <col min="19" max="23" width="19" style="47" bestFit="1" customWidth="1"/>
    <col min="24" max="27" width="6.28515625" style="47" bestFit="1" customWidth="1"/>
    <col min="28" max="16384" width="9.140625" style="47"/>
  </cols>
  <sheetData>
    <row r="1" spans="1:17" ht="13.5" thickBot="1" x14ac:dyDescent="0.25">
      <c r="A1" s="971" t="s">
        <v>86</v>
      </c>
      <c r="B1" s="60" t="s">
        <v>47</v>
      </c>
      <c r="C1" s="61"/>
      <c r="D1" s="62"/>
      <c r="E1" s="86"/>
      <c r="F1" s="86"/>
      <c r="G1" s="86"/>
      <c r="H1" s="86"/>
      <c r="I1" s="86"/>
      <c r="J1" s="764" t="s">
        <v>361</v>
      </c>
      <c r="K1" s="771" t="s">
        <v>81</v>
      </c>
      <c r="L1" s="772" t="s">
        <v>588</v>
      </c>
      <c r="M1" s="126"/>
      <c r="N1" s="126"/>
      <c r="O1" s="126"/>
      <c r="P1" s="96"/>
    </row>
    <row r="2" spans="1:17" ht="13.5" thickBot="1" x14ac:dyDescent="0.25">
      <c r="A2" s="972"/>
      <c r="B2" s="38" t="s">
        <v>65</v>
      </c>
      <c r="C2" s="63" t="s">
        <v>45</v>
      </c>
      <c r="D2" s="817"/>
      <c r="E2" s="816"/>
      <c r="F2" s="88"/>
      <c r="G2" s="88"/>
      <c r="H2" s="88"/>
      <c r="I2" s="88"/>
      <c r="J2" s="768" t="str">
        <f>'Estimate Template'!D64</f>
        <v>General Contractor</v>
      </c>
      <c r="K2" s="769">
        <f>'Estimate Template'!H92*(1+IF(J2="Design-Build",VLOOKUP(J3,DBLookUp,6,TRUE),IF(J2="Construction Manager at Risk",VLOOKUP(J3,CMLookUp,6,TRUE),0)))</f>
        <v>0</v>
      </c>
      <c r="L2" s="770" t="str">
        <f>IF(K2&gt;3124999,"Yes","No")</f>
        <v>No</v>
      </c>
      <c r="M2" s="95"/>
      <c r="N2" s="95"/>
      <c r="O2" s="95"/>
      <c r="P2" s="97"/>
    </row>
    <row r="3" spans="1:17" ht="13.5" thickBot="1" x14ac:dyDescent="0.25">
      <c r="A3" s="84"/>
      <c r="B3" s="64"/>
      <c r="C3" s="65" t="s">
        <v>44</v>
      </c>
      <c r="D3" s="818"/>
      <c r="E3" s="65"/>
      <c r="F3" s="88"/>
      <c r="G3" s="88"/>
      <c r="H3" s="88"/>
      <c r="I3" s="88"/>
      <c r="J3" s="765">
        <f>'Estimate Template'!H92</f>
        <v>0</v>
      </c>
      <c r="K3" s="766"/>
      <c r="L3" s="767"/>
      <c r="M3" s="763"/>
      <c r="N3" s="95"/>
      <c r="O3" s="95"/>
      <c r="P3" s="97"/>
    </row>
    <row r="4" spans="1:17" x14ac:dyDescent="0.2">
      <c r="A4" s="84"/>
      <c r="B4" s="66">
        <v>0</v>
      </c>
      <c r="C4" s="67">
        <v>0</v>
      </c>
      <c r="D4" s="819"/>
      <c r="E4" s="67"/>
      <c r="F4" s="88"/>
      <c r="G4" s="88"/>
      <c r="H4" s="88"/>
      <c r="I4" s="89"/>
      <c r="J4" s="95"/>
      <c r="K4" s="95"/>
      <c r="L4" s="95"/>
      <c r="M4" s="95"/>
      <c r="N4" s="95"/>
      <c r="O4" s="95"/>
      <c r="P4" s="97"/>
    </row>
    <row r="5" spans="1:17" x14ac:dyDescent="0.2">
      <c r="A5" s="84"/>
      <c r="B5" s="66">
        <v>1</v>
      </c>
      <c r="C5" s="67">
        <v>0.02</v>
      </c>
      <c r="D5" s="819"/>
      <c r="E5" s="67"/>
      <c r="F5" s="88"/>
      <c r="G5" s="88"/>
      <c r="H5" s="88"/>
      <c r="I5" s="89"/>
      <c r="J5" s="95"/>
      <c r="K5" s="95"/>
      <c r="L5" s="95"/>
      <c r="M5" s="95"/>
      <c r="N5" s="95"/>
      <c r="O5" s="95"/>
      <c r="P5" s="97"/>
    </row>
    <row r="6" spans="1:17" x14ac:dyDescent="0.2">
      <c r="A6" s="84"/>
      <c r="B6" s="66">
        <v>1000000</v>
      </c>
      <c r="C6" s="67">
        <v>0.02</v>
      </c>
      <c r="D6" s="820"/>
      <c r="E6" s="67"/>
      <c r="F6" s="88"/>
      <c r="G6" s="88"/>
      <c r="H6" s="88"/>
      <c r="I6" s="89"/>
      <c r="J6" s="95"/>
      <c r="K6" s="95"/>
      <c r="L6" s="95"/>
      <c r="M6" s="95"/>
      <c r="N6" s="95"/>
      <c r="O6" s="95"/>
      <c r="P6" s="97"/>
    </row>
    <row r="7" spans="1:17" x14ac:dyDescent="0.2">
      <c r="A7" s="84"/>
      <c r="B7" s="66">
        <v>4000000</v>
      </c>
      <c r="C7" s="67">
        <v>0.02</v>
      </c>
      <c r="D7" s="820"/>
      <c r="E7" s="67"/>
      <c r="F7" s="88"/>
      <c r="G7" s="88"/>
      <c r="H7" s="88"/>
      <c r="I7" s="89"/>
      <c r="J7" s="95"/>
      <c r="K7" s="95"/>
      <c r="L7" s="95"/>
      <c r="M7" s="95"/>
      <c r="N7" s="95"/>
      <c r="O7" s="95"/>
      <c r="P7" s="97"/>
    </row>
    <row r="8" spans="1:17" x14ac:dyDescent="0.2">
      <c r="A8" s="84"/>
      <c r="B8" s="66">
        <v>20000000</v>
      </c>
      <c r="C8" s="67">
        <v>0.02</v>
      </c>
      <c r="D8" s="822"/>
      <c r="E8" s="67"/>
      <c r="F8" s="88"/>
      <c r="G8" s="88"/>
      <c r="H8" s="88"/>
      <c r="I8" s="89"/>
      <c r="J8" s="95"/>
      <c r="K8" s="95"/>
      <c r="L8" s="95"/>
      <c r="M8" s="95"/>
      <c r="N8" s="95"/>
      <c r="O8" s="95"/>
      <c r="P8" s="97"/>
    </row>
    <row r="9" spans="1:17" x14ac:dyDescent="0.2">
      <c r="A9" s="84"/>
      <c r="B9" s="68" t="s">
        <v>48</v>
      </c>
      <c r="C9" s="69"/>
      <c r="E9" s="88"/>
      <c r="F9" s="88"/>
      <c r="G9" s="88"/>
      <c r="H9" s="88"/>
      <c r="I9" s="89"/>
      <c r="J9" s="95"/>
      <c r="K9" s="95"/>
      <c r="L9" s="95"/>
      <c r="M9" s="95"/>
      <c r="N9" s="95"/>
      <c r="O9" s="95"/>
      <c r="P9" s="97"/>
    </row>
    <row r="10" spans="1:17" ht="13.5" thickBot="1" x14ac:dyDescent="0.25">
      <c r="A10" s="84"/>
      <c r="B10" s="72" t="s">
        <v>645</v>
      </c>
      <c r="C10" s="47"/>
      <c r="E10" s="88"/>
      <c r="F10" s="88"/>
      <c r="G10" s="88"/>
      <c r="H10" s="88"/>
      <c r="I10" s="89"/>
      <c r="J10" s="95"/>
      <c r="K10" s="95"/>
      <c r="L10" s="95"/>
      <c r="M10" s="95"/>
      <c r="N10" s="95"/>
      <c r="O10" s="95"/>
      <c r="P10" s="97"/>
    </row>
    <row r="11" spans="1:17" ht="13.5" thickBot="1" x14ac:dyDescent="0.25">
      <c r="A11" s="85"/>
      <c r="B11" s="72"/>
      <c r="C11" s="72"/>
      <c r="D11" s="72"/>
      <c r="E11" s="90"/>
      <c r="F11" s="90"/>
      <c r="G11" s="90"/>
      <c r="H11" s="90"/>
      <c r="I11" s="91"/>
      <c r="J11" s="95"/>
      <c r="K11" s="95"/>
      <c r="L11" s="95"/>
      <c r="M11" s="95"/>
      <c r="N11" s="95"/>
      <c r="O11" s="95"/>
      <c r="P11" s="130"/>
      <c r="Q11" s="109"/>
    </row>
    <row r="12" spans="1:17" ht="13.5" thickBot="1" x14ac:dyDescent="0.25">
      <c r="A12" s="98"/>
      <c r="B12" s="99"/>
      <c r="C12" s="100"/>
      <c r="D12" s="95"/>
      <c r="E12" s="95"/>
      <c r="F12" s="95"/>
      <c r="G12" s="101"/>
      <c r="H12" s="95"/>
      <c r="I12" s="95"/>
      <c r="J12" s="95"/>
      <c r="K12" s="95"/>
      <c r="L12" s="95"/>
      <c r="M12" s="95"/>
      <c r="N12" s="95"/>
      <c r="O12" s="95"/>
      <c r="P12" s="97"/>
    </row>
    <row r="13" spans="1:17" ht="14.1" customHeight="1" thickBot="1" x14ac:dyDescent="0.25">
      <c r="A13" s="59" t="s">
        <v>85</v>
      </c>
      <c r="B13" s="975" t="s">
        <v>84</v>
      </c>
      <c r="C13" s="958" t="s">
        <v>83</v>
      </c>
      <c r="D13" s="958" t="s">
        <v>457</v>
      </c>
      <c r="E13" s="958" t="s">
        <v>589</v>
      </c>
      <c r="F13" s="958" t="s">
        <v>387</v>
      </c>
      <c r="G13" s="958" t="s">
        <v>82</v>
      </c>
      <c r="H13" s="969" t="s">
        <v>456</v>
      </c>
      <c r="I13" s="87"/>
      <c r="J13" s="95"/>
      <c r="K13" s="95"/>
      <c r="L13" s="95"/>
      <c r="M13" s="95"/>
      <c r="N13" s="95"/>
      <c r="O13" s="95"/>
      <c r="P13" s="97"/>
    </row>
    <row r="14" spans="1:17" x14ac:dyDescent="0.2">
      <c r="A14" s="92"/>
      <c r="B14" s="976"/>
      <c r="C14" s="959"/>
      <c r="D14" s="959"/>
      <c r="E14" s="959"/>
      <c r="F14" s="959"/>
      <c r="G14" s="959"/>
      <c r="H14" s="970"/>
      <c r="I14" s="89"/>
      <c r="J14" s="95"/>
      <c r="K14" s="829"/>
      <c r="L14" s="95"/>
      <c r="M14" s="95"/>
      <c r="N14" s="95"/>
      <c r="O14" s="95"/>
      <c r="P14" s="97"/>
    </row>
    <row r="15" spans="1:17" x14ac:dyDescent="0.2">
      <c r="A15" s="373">
        <v>0</v>
      </c>
      <c r="B15" s="758">
        <v>0</v>
      </c>
      <c r="C15" s="538">
        <v>6.5000000000000002E-2</v>
      </c>
      <c r="D15" s="538">
        <v>4.2500000000000003E-2</v>
      </c>
      <c r="E15" s="689">
        <v>2.5000000000000001E-2</v>
      </c>
      <c r="F15" s="538">
        <f>SUM(C15:D15)</f>
        <v>0.10750000000000001</v>
      </c>
      <c r="G15" s="538">
        <v>2.5000000000000001E-2</v>
      </c>
      <c r="H15" s="761">
        <v>0</v>
      </c>
      <c r="I15" s="93"/>
      <c r="J15" s="95"/>
      <c r="K15" s="829"/>
      <c r="L15" s="95"/>
      <c r="M15" s="95"/>
      <c r="N15" s="95"/>
      <c r="O15" s="95"/>
      <c r="P15" s="97"/>
    </row>
    <row r="16" spans="1:17" x14ac:dyDescent="0.2">
      <c r="A16" s="373">
        <v>2500000</v>
      </c>
      <c r="B16" s="758">
        <f>A16*(1-F16)</f>
        <v>2287500</v>
      </c>
      <c r="C16" s="538">
        <v>4.4999999999999998E-2</v>
      </c>
      <c r="D16" s="538">
        <v>0.04</v>
      </c>
      <c r="E16" s="689">
        <v>2.5000000000000001E-2</v>
      </c>
      <c r="F16" s="538">
        <f t="shared" ref="F16:F23" si="0">SUM(C16:D16)</f>
        <v>8.4999999999999992E-2</v>
      </c>
      <c r="G16" s="538">
        <v>0.02</v>
      </c>
      <c r="H16" s="761">
        <v>0</v>
      </c>
      <c r="I16" s="93"/>
      <c r="J16" s="95"/>
      <c r="K16" s="829"/>
      <c r="L16" s="95"/>
      <c r="M16" s="95"/>
      <c r="N16" s="95"/>
      <c r="O16" s="95"/>
      <c r="P16" s="97"/>
    </row>
    <row r="17" spans="1:16" x14ac:dyDescent="0.2">
      <c r="A17" s="373">
        <v>5000000</v>
      </c>
      <c r="B17" s="758">
        <f t="shared" ref="B17:B23" si="1">A17*(1-F17)</f>
        <v>4612500</v>
      </c>
      <c r="C17" s="538">
        <v>0.04</v>
      </c>
      <c r="D17" s="538">
        <v>3.7499999999999999E-2</v>
      </c>
      <c r="E17" s="689">
        <v>2.5000000000000001E-2</v>
      </c>
      <c r="F17" s="538">
        <f t="shared" si="0"/>
        <v>7.7499999999999999E-2</v>
      </c>
      <c r="G17" s="538">
        <v>1.4999999999999999E-2</v>
      </c>
      <c r="H17" s="761">
        <v>0</v>
      </c>
      <c r="I17" s="93"/>
      <c r="J17" s="95"/>
      <c r="K17" s="829"/>
      <c r="L17" s="95"/>
      <c r="M17" s="95"/>
      <c r="N17" s="95"/>
      <c r="O17" s="95"/>
      <c r="P17" s="97"/>
    </row>
    <row r="18" spans="1:16" x14ac:dyDescent="0.2">
      <c r="A18" s="373">
        <v>10000000</v>
      </c>
      <c r="B18" s="758">
        <f t="shared" si="1"/>
        <v>9325000</v>
      </c>
      <c r="C18" s="538">
        <v>3.7499999999999999E-2</v>
      </c>
      <c r="D18" s="538">
        <v>0.03</v>
      </c>
      <c r="E18" s="689">
        <v>2.5000000000000001E-2</v>
      </c>
      <c r="F18" s="538">
        <f t="shared" si="0"/>
        <v>6.7500000000000004E-2</v>
      </c>
      <c r="G18" s="538">
        <v>0.01</v>
      </c>
      <c r="H18" s="761">
        <v>0</v>
      </c>
      <c r="I18" s="93"/>
      <c r="J18" s="95"/>
      <c r="K18" s="829"/>
      <c r="L18" s="95"/>
      <c r="M18" s="95"/>
      <c r="N18" s="95"/>
      <c r="O18" s="95"/>
      <c r="P18" s="97"/>
    </row>
    <row r="19" spans="1:16" x14ac:dyDescent="0.2">
      <c r="A19" s="374">
        <v>15000000</v>
      </c>
      <c r="B19" s="758">
        <f t="shared" si="1"/>
        <v>13949999.999999998</v>
      </c>
      <c r="C19" s="538">
        <v>3.5000000000000003E-2</v>
      </c>
      <c r="D19" s="538">
        <v>3.5000000000000003E-2</v>
      </c>
      <c r="E19" s="689">
        <v>2.5000000000000001E-2</v>
      </c>
      <c r="F19" s="538">
        <f t="shared" si="0"/>
        <v>7.0000000000000007E-2</v>
      </c>
      <c r="G19" s="538">
        <v>0.01</v>
      </c>
      <c r="H19" s="761">
        <v>0</v>
      </c>
      <c r="I19" s="93"/>
      <c r="J19" s="95"/>
      <c r="K19" s="829"/>
      <c r="L19" s="95"/>
      <c r="M19" s="95"/>
      <c r="N19" s="95"/>
      <c r="O19" s="95"/>
      <c r="P19" s="97"/>
    </row>
    <row r="20" spans="1:16" x14ac:dyDescent="0.2">
      <c r="A20" s="374">
        <v>20000000</v>
      </c>
      <c r="B20" s="758">
        <f t="shared" si="1"/>
        <v>18750000</v>
      </c>
      <c r="C20" s="538">
        <v>0.03</v>
      </c>
      <c r="D20" s="538">
        <v>3.2500000000000001E-2</v>
      </c>
      <c r="E20" s="689">
        <v>2.5000000000000001E-2</v>
      </c>
      <c r="F20" s="538">
        <f t="shared" si="0"/>
        <v>6.25E-2</v>
      </c>
      <c r="G20" s="538">
        <v>0.01</v>
      </c>
      <c r="H20" s="761">
        <v>7.4999999999999997E-2</v>
      </c>
      <c r="I20" s="93"/>
      <c r="J20" s="95"/>
      <c r="K20" s="829"/>
      <c r="L20" s="95"/>
      <c r="M20" s="95"/>
      <c r="N20" s="95"/>
      <c r="O20" s="95"/>
      <c r="P20" s="97"/>
    </row>
    <row r="21" spans="1:16" x14ac:dyDescent="0.2">
      <c r="A21" s="374">
        <v>25000000</v>
      </c>
      <c r="B21" s="758">
        <f t="shared" si="1"/>
        <v>23625000</v>
      </c>
      <c r="C21" s="538">
        <v>2.5000000000000001E-2</v>
      </c>
      <c r="D21" s="538">
        <v>0.03</v>
      </c>
      <c r="E21" s="689">
        <v>2.5000000000000001E-2</v>
      </c>
      <c r="F21" s="538">
        <f t="shared" si="0"/>
        <v>5.5E-2</v>
      </c>
      <c r="G21" s="538">
        <v>0.01</v>
      </c>
      <c r="H21" s="761">
        <v>7.0000000000000007E-2</v>
      </c>
      <c r="I21" s="93"/>
      <c r="J21" s="95"/>
      <c r="K21" s="829"/>
      <c r="L21" s="95"/>
      <c r="M21" s="95"/>
      <c r="N21" s="95"/>
      <c r="O21" s="95"/>
      <c r="P21" s="97"/>
    </row>
    <row r="22" spans="1:16" x14ac:dyDescent="0.2">
      <c r="A22" s="374">
        <v>50000000</v>
      </c>
      <c r="B22" s="758">
        <f t="shared" si="1"/>
        <v>47375000</v>
      </c>
      <c r="C22" s="538">
        <v>2.5000000000000001E-2</v>
      </c>
      <c r="D22" s="538">
        <v>2.75E-2</v>
      </c>
      <c r="E22" s="689">
        <v>2.5000000000000001E-2</v>
      </c>
      <c r="F22" s="538">
        <f t="shared" si="0"/>
        <v>5.2500000000000005E-2</v>
      </c>
      <c r="G22" s="538">
        <v>0.01</v>
      </c>
      <c r="H22" s="761">
        <v>6.5000000000000002E-2</v>
      </c>
      <c r="I22" s="93"/>
      <c r="J22" s="95"/>
      <c r="K22" s="829"/>
      <c r="L22" s="95"/>
      <c r="M22" s="95"/>
      <c r="N22" s="95"/>
      <c r="O22" s="95"/>
      <c r="P22" s="97"/>
    </row>
    <row r="23" spans="1:16" ht="13.5" thickBot="1" x14ac:dyDescent="0.25">
      <c r="A23" s="375">
        <v>75000000</v>
      </c>
      <c r="B23" s="376">
        <f t="shared" si="1"/>
        <v>71250000</v>
      </c>
      <c r="C23" s="73">
        <v>2.5000000000000001E-2</v>
      </c>
      <c r="D23" s="73">
        <v>2.5000000000000001E-2</v>
      </c>
      <c r="E23" s="73">
        <v>2.5000000000000001E-2</v>
      </c>
      <c r="F23" s="73">
        <f t="shared" si="0"/>
        <v>0.05</v>
      </c>
      <c r="G23" s="73">
        <v>0.01</v>
      </c>
      <c r="H23" s="762">
        <v>0.06</v>
      </c>
      <c r="I23" s="94"/>
      <c r="J23" s="95"/>
      <c r="K23" s="829"/>
      <c r="L23" s="95"/>
      <c r="M23" s="95"/>
      <c r="N23" s="95"/>
      <c r="O23" s="95"/>
      <c r="P23" s="97"/>
    </row>
    <row r="24" spans="1:16" ht="13.5" thickBot="1" x14ac:dyDescent="0.25">
      <c r="A24" s="98"/>
      <c r="B24" s="99"/>
      <c r="C24" s="100"/>
      <c r="D24" s="95"/>
      <c r="E24" s="95"/>
      <c r="F24" s="95"/>
      <c r="G24" s="95"/>
      <c r="H24" s="95"/>
      <c r="I24" s="95"/>
      <c r="J24" s="95"/>
      <c r="K24" s="95"/>
      <c r="L24" s="95"/>
      <c r="M24" s="95"/>
      <c r="N24" s="95"/>
      <c r="O24" s="95"/>
      <c r="P24" s="97"/>
    </row>
    <row r="25" spans="1:16" ht="13.35" customHeight="1" x14ac:dyDescent="0.2">
      <c r="A25" s="973" t="s">
        <v>88</v>
      </c>
      <c r="B25" s="958" t="s">
        <v>81</v>
      </c>
      <c r="C25" s="958" t="s">
        <v>87</v>
      </c>
      <c r="D25" s="958" t="s">
        <v>586</v>
      </c>
      <c r="E25" s="958" t="s">
        <v>587</v>
      </c>
      <c r="F25" s="958" t="s">
        <v>93</v>
      </c>
      <c r="G25" s="958" t="s">
        <v>387</v>
      </c>
      <c r="H25" s="969" t="s">
        <v>82</v>
      </c>
      <c r="I25" s="87"/>
      <c r="J25" s="95"/>
      <c r="K25" s="95"/>
      <c r="L25" s="95"/>
      <c r="M25" s="95"/>
      <c r="N25" s="95"/>
      <c r="O25" s="95"/>
      <c r="P25" s="97"/>
    </row>
    <row r="26" spans="1:16" ht="13.5" thickBot="1" x14ac:dyDescent="0.25">
      <c r="A26" s="974"/>
      <c r="B26" s="959"/>
      <c r="C26" s="959"/>
      <c r="D26" s="959"/>
      <c r="E26" s="959"/>
      <c r="F26" s="959"/>
      <c r="G26" s="959"/>
      <c r="H26" s="970"/>
      <c r="I26" s="89"/>
      <c r="J26" s="95"/>
      <c r="K26" s="95"/>
      <c r="L26" s="95"/>
      <c r="M26" s="95"/>
      <c r="N26" s="95"/>
      <c r="O26" s="95"/>
      <c r="P26" s="97"/>
    </row>
    <row r="27" spans="1:16" x14ac:dyDescent="0.2">
      <c r="A27" s="391">
        <v>0</v>
      </c>
      <c r="B27" s="537">
        <v>0</v>
      </c>
      <c r="C27" s="538">
        <v>0.1</v>
      </c>
      <c r="D27" s="689">
        <f>IF(Complexity="Average",IF(Type="New Construction",VLOOKUP(A27/1000,'Basic Services Fees'!A23:G98,2),VLOOKUP(A27/1000,'Basic Services Fees'!A23:G98,3)),IF(Complexity="Difficult",IF(Type="New Construction",VLOOKUP(A27/1000,'Basic Services Fees'!A23:G98,4),VLOOKUP(A27/1000,'Basic Services Fees'!A23:G98,5)),IF(Complexity="Hist/Memorial",IF(Type="New Construction",VLOOKUP(A27/1000,'Basic Services Fees'!A23:G98,4),VLOOKUP(A27/1000,'Basic Services Fees'!A23:G98,5)),0)))*0.3</f>
        <v>0</v>
      </c>
      <c r="E27" s="760">
        <v>0.03</v>
      </c>
      <c r="F27" s="759">
        <v>0.08</v>
      </c>
      <c r="G27" s="538">
        <f>SUM(C27:F27)</f>
        <v>0.21000000000000002</v>
      </c>
      <c r="H27" s="761">
        <v>2.5000000000000001E-2</v>
      </c>
      <c r="I27" s="93"/>
      <c r="J27" s="95"/>
      <c r="K27" s="95"/>
      <c r="L27" s="95"/>
      <c r="M27" s="95"/>
      <c r="N27" s="95"/>
      <c r="O27" s="95"/>
      <c r="P27" s="97"/>
    </row>
    <row r="28" spans="1:16" x14ac:dyDescent="0.2">
      <c r="A28" s="391">
        <v>500000</v>
      </c>
      <c r="B28" s="537">
        <f>A28*(1-G28)</f>
        <v>388100</v>
      </c>
      <c r="C28" s="538">
        <v>0.09</v>
      </c>
      <c r="D28" s="689">
        <f>IF(Complexity="Average",IF(Type="New Construction",VLOOKUP(A28/1000,'Basic Services Fees'!A24:G99,2),VLOOKUP(A28/1000,'Basic Services Fees'!A24:G99,3)),IF(Complexity="Difficult",IF(Type="New Construction",VLOOKUP(A28/1000,'Basic Services Fees'!A24:G99,4),VLOOKUP(A28/1000,'Basic Services Fees'!A24:G99,5)),IF(Complexity="Hist/Memorial",IF(Type="New Construction",VLOOKUP(A28/1000,'Basic Services Fees'!A24:G99,4),VLOOKUP(A28/1000,'Basic Services Fees'!A24:G99,5)),0)))*0.3</f>
        <v>2.8799999999999999E-2</v>
      </c>
      <c r="E28" s="538">
        <v>0.03</v>
      </c>
      <c r="F28" s="759">
        <v>7.4999999999999997E-2</v>
      </c>
      <c r="G28" s="538">
        <f t="shared" ref="G28:G39" si="2">SUM(C28:F28)</f>
        <v>0.2238</v>
      </c>
      <c r="H28" s="761">
        <v>2.5000000000000001E-2</v>
      </c>
      <c r="I28" s="93"/>
      <c r="J28" s="95"/>
      <c r="K28" s="95"/>
      <c r="L28" s="95"/>
      <c r="M28" s="95"/>
      <c r="N28" s="95"/>
      <c r="O28" s="95"/>
      <c r="P28" s="97"/>
    </row>
    <row r="29" spans="1:16" x14ac:dyDescent="0.2">
      <c r="A29" s="391">
        <v>1000000</v>
      </c>
      <c r="B29" s="537">
        <f t="shared" ref="B29:B39" si="3">A29*(1-G29)</f>
        <v>805160</v>
      </c>
      <c r="C29" s="538">
        <v>0.08</v>
      </c>
      <c r="D29" s="689">
        <f>IF(Complexity="Average",IF(Type="New Construction",VLOOKUP(A29/1000,'Basic Services Fees'!A25:G100,2),VLOOKUP(A29/1000,'Basic Services Fees'!A25:G100,3)),IF(Complexity="Difficult",IF(Type="New Construction",VLOOKUP(A29/1000,'Basic Services Fees'!A25:G100,4),VLOOKUP(A29/1000,'Basic Services Fees'!A25:G100,5)),IF(Complexity="Hist/Memorial",IF(Type="New Construction",VLOOKUP(A29/1000,'Basic Services Fees'!A25:G100,4),VLOOKUP(A29/1000,'Basic Services Fees'!A25:G100,5)),0)))*0.3</f>
        <v>2.4839999999999997E-2</v>
      </c>
      <c r="E29" s="538">
        <v>0.03</v>
      </c>
      <c r="F29" s="759">
        <v>0.06</v>
      </c>
      <c r="G29" s="538">
        <f t="shared" si="2"/>
        <v>0.19484000000000001</v>
      </c>
      <c r="H29" s="761">
        <v>2.5000000000000001E-2</v>
      </c>
      <c r="I29" s="93"/>
      <c r="J29" s="95"/>
      <c r="K29" s="95"/>
      <c r="L29" s="95"/>
      <c r="M29" s="95"/>
      <c r="N29" s="95"/>
      <c r="O29" s="95"/>
      <c r="P29" s="97"/>
    </row>
    <row r="30" spans="1:16" x14ac:dyDescent="0.2">
      <c r="A30" s="391">
        <v>1500000</v>
      </c>
      <c r="B30" s="537">
        <f t="shared" si="3"/>
        <v>1238820</v>
      </c>
      <c r="C30" s="538">
        <v>7.0000000000000007E-2</v>
      </c>
      <c r="D30" s="689">
        <f>IF(Complexity="Average",IF(Type="New Construction",VLOOKUP(A30/1000,'Basic Services Fees'!A26:G101,2),VLOOKUP(A30/1000,'Basic Services Fees'!A26:G101,3)),IF(Complexity="Difficult",IF(Type="New Construction",VLOOKUP(A30/1000,'Basic Services Fees'!A26:G101,4),VLOOKUP(A30/1000,'Basic Services Fees'!A26:G101,5)),IF(Complexity="Hist/Memorial",IF(Type="New Construction",VLOOKUP(A30/1000,'Basic Services Fees'!A26:G101,4),VLOOKUP(A30/1000,'Basic Services Fees'!A26:G101,5)),0)))*0.3</f>
        <v>2.4119999999999996E-2</v>
      </c>
      <c r="E30" s="538">
        <v>0.03</v>
      </c>
      <c r="F30" s="759">
        <v>0.05</v>
      </c>
      <c r="G30" s="538">
        <f t="shared" si="2"/>
        <v>0.17412</v>
      </c>
      <c r="H30" s="761">
        <v>2.5000000000000001E-2</v>
      </c>
      <c r="I30" s="93"/>
      <c r="J30" s="95"/>
      <c r="K30" s="95"/>
      <c r="L30" s="95"/>
      <c r="M30" s="95"/>
      <c r="N30" s="95"/>
      <c r="O30" s="95"/>
      <c r="P30" s="97"/>
    </row>
    <row r="31" spans="1:16" ht="12.75" customHeight="1" x14ac:dyDescent="0.2">
      <c r="A31" s="374">
        <v>2000000</v>
      </c>
      <c r="B31" s="537">
        <f t="shared" si="3"/>
        <v>1678200</v>
      </c>
      <c r="C31" s="538">
        <v>0.06</v>
      </c>
      <c r="D31" s="689">
        <f>IF(Complexity="Average",IF(Type="New Construction",VLOOKUP(A31/1000,'Basic Services Fees'!A27:G102,2),VLOOKUP(A31/1000,'Basic Services Fees'!A27:G102,3)),IF(Complexity="Difficult",IF(Type="New Construction",VLOOKUP(A31/1000,'Basic Services Fees'!A27:G102,4),VLOOKUP(A31/1000,'Basic Services Fees'!A27:G102,5)),IF(Complexity="Hist/Memorial",IF(Type="New Construction",VLOOKUP(A31/1000,'Basic Services Fees'!A27:G102,4),VLOOKUP(A31/1000,'Basic Services Fees'!A27:G102,5)),0)))*0.3</f>
        <v>2.3400000000000001E-2</v>
      </c>
      <c r="E31" s="538">
        <v>0.03</v>
      </c>
      <c r="F31" s="759">
        <v>4.7500000000000001E-2</v>
      </c>
      <c r="G31" s="538">
        <f t="shared" si="2"/>
        <v>0.16089999999999999</v>
      </c>
      <c r="H31" s="761">
        <v>2.5000000000000001E-2</v>
      </c>
      <c r="I31" s="93"/>
      <c r="J31" s="95"/>
      <c r="K31" s="95"/>
      <c r="L31" s="95"/>
      <c r="M31" s="95"/>
      <c r="N31" s="95"/>
      <c r="O31" s="95"/>
      <c r="P31" s="97"/>
    </row>
    <row r="32" spans="1:16" x14ac:dyDescent="0.2">
      <c r="A32" s="374">
        <v>2500000</v>
      </c>
      <c r="B32" s="537">
        <f t="shared" si="3"/>
        <v>2155050</v>
      </c>
      <c r="C32" s="538">
        <v>0.05</v>
      </c>
      <c r="D32" s="689">
        <f>IF(Complexity="Average",IF(Type="New Construction",VLOOKUP(A32/1000,'Basic Services Fees'!A28:G103,2),VLOOKUP(A32/1000,'Basic Services Fees'!A28:G103,3)),IF(Complexity="Difficult",IF(Type="New Construction",VLOOKUP(A32/1000,'Basic Services Fees'!A28:G103,4),VLOOKUP(A32/1000,'Basic Services Fees'!A28:G103,5)),IF(Complexity="Hist/Memorial",IF(Type="New Construction",VLOOKUP(A32/1000,'Basic Services Fees'!A28:G103,4),VLOOKUP(A32/1000,'Basic Services Fees'!A28:G103,5)),0)))*0.3</f>
        <v>2.298E-2</v>
      </c>
      <c r="E32" s="538">
        <v>0.03</v>
      </c>
      <c r="F32" s="759">
        <v>3.5000000000000003E-2</v>
      </c>
      <c r="G32" s="538">
        <f t="shared" si="2"/>
        <v>0.13797999999999999</v>
      </c>
      <c r="H32" s="761">
        <v>0.02</v>
      </c>
      <c r="I32" s="93"/>
      <c r="J32" s="95"/>
      <c r="K32" s="95"/>
      <c r="L32" s="95"/>
      <c r="M32" s="95"/>
      <c r="N32" s="95"/>
      <c r="O32" s="95"/>
      <c r="P32" s="97"/>
    </row>
    <row r="33" spans="1:16" x14ac:dyDescent="0.2">
      <c r="A33" s="374">
        <v>5000000</v>
      </c>
      <c r="B33" s="537">
        <f t="shared" si="3"/>
        <v>4355400</v>
      </c>
      <c r="C33" s="538">
        <v>4.4999999999999998E-2</v>
      </c>
      <c r="D33" s="689">
        <f>IF(Complexity="Average",IF(Type="New Construction",VLOOKUP(A33/1000,'Basic Services Fees'!A29:G104,2),VLOOKUP(A33/1000,'Basic Services Fees'!A29:G104,3)),IF(Complexity="Difficult",IF(Type="New Construction",VLOOKUP(A33/1000,'Basic Services Fees'!A29:G104,4),VLOOKUP(A33/1000,'Basic Services Fees'!A29:G104,5)),IF(Complexity="Hist/Memorial",IF(Type="New Construction",VLOOKUP(A33/1000,'Basic Services Fees'!A29:G104,4),VLOOKUP(A33/1000,'Basic Services Fees'!A29:G104,5)),0)))*0.3</f>
        <v>2.1419999999999998E-2</v>
      </c>
      <c r="E33" s="538">
        <v>0.03</v>
      </c>
      <c r="F33" s="759">
        <v>3.2500000000000001E-2</v>
      </c>
      <c r="G33" s="538">
        <f t="shared" si="2"/>
        <v>0.12891999999999998</v>
      </c>
      <c r="H33" s="761">
        <v>1.4999999999999999E-2</v>
      </c>
      <c r="I33" s="93"/>
      <c r="J33" s="95"/>
      <c r="K33" s="95"/>
      <c r="L33" s="95"/>
      <c r="M33" s="95"/>
      <c r="N33" s="95"/>
      <c r="O33" s="95"/>
      <c r="P33" s="97"/>
    </row>
    <row r="34" spans="1:16" x14ac:dyDescent="0.2">
      <c r="A34" s="374">
        <v>10000000</v>
      </c>
      <c r="B34" s="537">
        <f t="shared" si="3"/>
        <v>8766200</v>
      </c>
      <c r="C34" s="538">
        <v>4.2500000000000003E-2</v>
      </c>
      <c r="D34" s="689">
        <f>IF(Complexity="Average",IF(Type="New Construction",VLOOKUP(A34/1000,'Basic Services Fees'!A30:G105,2),VLOOKUP(A34/1000,'Basic Services Fees'!A30:G105,3)),IF(Complexity="Difficult",IF(Type="New Construction",VLOOKUP(A34/1000,'Basic Services Fees'!A30:G105,4),VLOOKUP(A34/1000,'Basic Services Fees'!A30:G105,5)),IF(Complexity="Hist/Memorial",IF(Type="New Construction",VLOOKUP(A34/1000,'Basic Services Fees'!A30:G105,4),VLOOKUP(A34/1000,'Basic Services Fees'!A30:G105,5)),0)))*0.3</f>
        <v>2.0879999999999999E-2</v>
      </c>
      <c r="E34" s="538">
        <v>0.03</v>
      </c>
      <c r="F34" s="759">
        <v>0.03</v>
      </c>
      <c r="G34" s="538">
        <f t="shared" si="2"/>
        <v>0.12338</v>
      </c>
      <c r="H34" s="761">
        <v>0.01</v>
      </c>
      <c r="I34" s="93"/>
      <c r="J34" s="95"/>
      <c r="K34" s="95"/>
      <c r="L34" s="95"/>
      <c r="M34" s="95"/>
      <c r="N34" s="95"/>
      <c r="O34" s="95"/>
      <c r="P34" s="97"/>
    </row>
    <row r="35" spans="1:16" x14ac:dyDescent="0.2">
      <c r="A35" s="374">
        <v>15000000</v>
      </c>
      <c r="B35" s="537">
        <f t="shared" si="3"/>
        <v>13235100</v>
      </c>
      <c r="C35" s="538">
        <v>0.04</v>
      </c>
      <c r="D35" s="689">
        <f>IF(Complexity="Average",IF(Type="New Construction",VLOOKUP(A35/1000,'Basic Services Fees'!A31:G106,2),VLOOKUP(A35/1000,'Basic Services Fees'!A31:G106,3)),IF(Complexity="Difficult",IF(Type="New Construction",VLOOKUP(A35/1000,'Basic Services Fees'!A31:G106,4),VLOOKUP(A35/1000,'Basic Services Fees'!A31:G106,5)),IF(Complexity="Hist/Memorial",IF(Type="New Construction",VLOOKUP(A35/1000,'Basic Services Fees'!A31:G106,4),VLOOKUP(A35/1000,'Basic Services Fees'!A31:G106,5)),0)))*0.3</f>
        <v>2.0159999999999997E-2</v>
      </c>
      <c r="E35" s="538">
        <v>0.03</v>
      </c>
      <c r="F35" s="538">
        <v>2.75E-2</v>
      </c>
      <c r="G35" s="538">
        <f t="shared" si="2"/>
        <v>0.11765999999999999</v>
      </c>
      <c r="H35" s="761">
        <v>0.01</v>
      </c>
      <c r="I35" s="93"/>
      <c r="J35" s="95"/>
      <c r="K35" s="95"/>
      <c r="L35" s="95"/>
      <c r="M35" s="95"/>
      <c r="N35" s="95"/>
      <c r="O35" s="95"/>
      <c r="P35" s="97"/>
    </row>
    <row r="36" spans="1:16" x14ac:dyDescent="0.2">
      <c r="A36" s="374">
        <v>20000000</v>
      </c>
      <c r="B36" s="537">
        <f t="shared" si="3"/>
        <v>17861200</v>
      </c>
      <c r="C36" s="538">
        <v>3.5000000000000003E-2</v>
      </c>
      <c r="D36" s="689">
        <f>IF(Complexity="Average",IF(Type="New Construction",VLOOKUP(A36/1000,'Basic Services Fees'!A32:G107,2),VLOOKUP(A36/1000,'Basic Services Fees'!A32:G107,3)),IF(Complexity="Difficult",IF(Type="New Construction",VLOOKUP(A36/1000,'Basic Services Fees'!A32:G107,4),VLOOKUP(A36/1000,'Basic Services Fees'!A32:G107,5)),IF(Complexity="Hist/Memorial",IF(Type="New Construction",VLOOKUP(A36/1000,'Basic Services Fees'!A32:G107,4),VLOOKUP(A36/1000,'Basic Services Fees'!A32:G107,5)),0)))*0.3</f>
        <v>1.9440000000000002E-2</v>
      </c>
      <c r="E36" s="538">
        <v>0.03</v>
      </c>
      <c r="F36" s="538">
        <v>2.2499999999999999E-2</v>
      </c>
      <c r="G36" s="538">
        <f t="shared" si="2"/>
        <v>0.10694000000000001</v>
      </c>
      <c r="H36" s="761">
        <v>0.01</v>
      </c>
      <c r="I36" s="93"/>
      <c r="J36" s="95"/>
      <c r="K36" s="95"/>
      <c r="L36" s="95"/>
      <c r="M36" s="95"/>
      <c r="N36" s="95"/>
      <c r="O36" s="95"/>
      <c r="P36" s="97"/>
    </row>
    <row r="37" spans="1:16" x14ac:dyDescent="0.2">
      <c r="A37" s="374">
        <v>25000000</v>
      </c>
      <c r="B37" s="537">
        <f t="shared" si="3"/>
        <v>22532000</v>
      </c>
      <c r="C37" s="538">
        <v>0.03</v>
      </c>
      <c r="D37" s="689">
        <f>IF(Complexity="Average",IF(Type="New Construction",VLOOKUP(A37/1000,'Basic Services Fees'!A33:G108,2),VLOOKUP(A37/1000,'Basic Services Fees'!A33:G108,3)),IF(Complexity="Difficult",IF(Type="New Construction",VLOOKUP(A37/1000,'Basic Services Fees'!A33:G108,4),VLOOKUP(A37/1000,'Basic Services Fees'!A33:G108,5)),IF(Complexity="Hist/Memorial",IF(Type="New Construction",VLOOKUP(A37/1000,'Basic Services Fees'!A33:G108,4),VLOOKUP(A37/1000,'Basic Services Fees'!A33:G108,5)),0)))*0.3</f>
        <v>1.8720000000000001E-2</v>
      </c>
      <c r="E37" s="538">
        <v>0.03</v>
      </c>
      <c r="F37" s="538">
        <v>0.02</v>
      </c>
      <c r="G37" s="538">
        <f t="shared" si="2"/>
        <v>9.8720000000000002E-2</v>
      </c>
      <c r="H37" s="761">
        <v>0.01</v>
      </c>
      <c r="I37" s="93"/>
      <c r="J37" s="95"/>
      <c r="K37" s="95"/>
      <c r="L37" s="95"/>
      <c r="M37" s="95"/>
      <c r="N37" s="95"/>
      <c r="O37" s="95"/>
      <c r="P37" s="97"/>
    </row>
    <row r="38" spans="1:16" x14ac:dyDescent="0.2">
      <c r="A38" s="374">
        <v>50000000</v>
      </c>
      <c r="B38" s="537">
        <f t="shared" si="3"/>
        <v>45689000</v>
      </c>
      <c r="C38" s="538">
        <v>0.02</v>
      </c>
      <c r="D38" s="689">
        <f>IF(Complexity="Average",IF(Type="New Construction",VLOOKUP(A38/1000,'Basic Services Fees'!A34:G109,2),VLOOKUP(A38/1000,'Basic Services Fees'!A34:G109,3)),IF(Complexity="Difficult",IF(Type="New Construction",VLOOKUP(A38/1000,'Basic Services Fees'!A34:G109,4),VLOOKUP(A38/1000,'Basic Services Fees'!A34:G109,5)),IF(Complexity="Hist/Memorial",IF(Type="New Construction",VLOOKUP(A38/1000,'Basic Services Fees'!A34:G109,4),VLOOKUP(A38/1000,'Basic Services Fees'!A34:G109,5)),0)))*0.3</f>
        <v>1.8720000000000001E-2</v>
      </c>
      <c r="E38" s="538">
        <v>0.03</v>
      </c>
      <c r="F38" s="538">
        <v>1.7500000000000002E-2</v>
      </c>
      <c r="G38" s="538">
        <f t="shared" si="2"/>
        <v>8.6220000000000005E-2</v>
      </c>
      <c r="H38" s="761">
        <v>0.01</v>
      </c>
      <c r="I38" s="93"/>
      <c r="J38" s="95"/>
      <c r="K38" s="392"/>
      <c r="L38" s="95"/>
      <c r="M38" s="95"/>
      <c r="N38" s="95"/>
      <c r="O38" s="95"/>
      <c r="P38" s="97"/>
    </row>
    <row r="39" spans="1:16" ht="13.5" thickBot="1" x14ac:dyDescent="0.25">
      <c r="A39" s="375">
        <v>75000000</v>
      </c>
      <c r="B39" s="756">
        <f t="shared" si="3"/>
        <v>68815500</v>
      </c>
      <c r="C39" s="73">
        <v>0.02</v>
      </c>
      <c r="D39" s="757">
        <f>IF(Complexity="Average",IF(Type="New Construction",VLOOKUP(A39/1000,'Basic Services Fees'!A35:G110,2),VLOOKUP(A39/1000,'Basic Services Fees'!A35:G110,3)),IF(Complexity="Difficult",IF(Type="New Construction",VLOOKUP(A39/1000,'Basic Services Fees'!A35:G110,4),VLOOKUP(A39/1000,'Basic Services Fees'!A35:G110,5)),IF(Complexity="Hist/Memorial",IF(Type="New Construction",VLOOKUP(A39/1000,'Basic Services Fees'!A35:G110,4),VLOOKUP(A39/1000,'Basic Services Fees'!A35:G110,5)),0)))*0.3</f>
        <v>1.746E-2</v>
      </c>
      <c r="E39" s="73">
        <v>0.03</v>
      </c>
      <c r="F39" s="73">
        <v>1.4999999999999999E-2</v>
      </c>
      <c r="G39" s="73">
        <f t="shared" si="2"/>
        <v>8.2459999999999992E-2</v>
      </c>
      <c r="H39" s="762">
        <v>0.01</v>
      </c>
      <c r="I39" s="94"/>
      <c r="J39" s="392"/>
      <c r="K39" s="392"/>
      <c r="L39" s="95"/>
      <c r="M39" s="95"/>
      <c r="N39" s="95"/>
      <c r="O39" s="95"/>
      <c r="P39" s="97"/>
    </row>
    <row r="40" spans="1:16" ht="13.5" thickBot="1" x14ac:dyDescent="0.25">
      <c r="A40" s="98"/>
      <c r="B40" s="99"/>
      <c r="C40" s="100"/>
      <c r="D40" s="95"/>
      <c r="E40" s="95"/>
      <c r="F40" s="95"/>
      <c r="G40" s="95"/>
      <c r="H40" s="95"/>
      <c r="I40" s="95"/>
      <c r="J40" s="95"/>
      <c r="K40" s="95"/>
      <c r="L40" s="95"/>
      <c r="M40" s="95"/>
      <c r="N40" s="95"/>
      <c r="O40" s="95"/>
      <c r="P40" s="97"/>
    </row>
    <row r="41" spans="1:16" ht="26.25" thickBot="1" x14ac:dyDescent="0.25">
      <c r="A41" s="129" t="s">
        <v>110</v>
      </c>
      <c r="B41" s="122" t="s">
        <v>111</v>
      </c>
      <c r="C41" s="966" t="s">
        <v>107</v>
      </c>
      <c r="D41" s="967"/>
      <c r="E41" s="968"/>
      <c r="F41" s="963" t="s">
        <v>108</v>
      </c>
      <c r="G41" s="964"/>
      <c r="H41" s="965"/>
      <c r="I41" s="960" t="s">
        <v>92</v>
      </c>
      <c r="J41" s="961"/>
      <c r="K41" s="962"/>
      <c r="L41" s="960" t="s">
        <v>109</v>
      </c>
      <c r="M41" s="961"/>
      <c r="N41" s="962"/>
      <c r="O41" s="87"/>
      <c r="P41" s="97"/>
    </row>
    <row r="42" spans="1:16" ht="13.5" thickBot="1" x14ac:dyDescent="0.25">
      <c r="A42" s="84"/>
      <c r="B42" s="123"/>
      <c r="C42" s="124" t="s">
        <v>103</v>
      </c>
      <c r="D42" s="118" t="s">
        <v>113</v>
      </c>
      <c r="E42" s="125" t="s">
        <v>112</v>
      </c>
      <c r="F42" s="124" t="s">
        <v>103</v>
      </c>
      <c r="G42" s="118" t="s">
        <v>113</v>
      </c>
      <c r="H42" s="125" t="s">
        <v>112</v>
      </c>
      <c r="I42" s="124" t="s">
        <v>103</v>
      </c>
      <c r="J42" s="118" t="s">
        <v>113</v>
      </c>
      <c r="K42" s="125" t="s">
        <v>112</v>
      </c>
      <c r="L42" s="124" t="s">
        <v>103</v>
      </c>
      <c r="M42" s="118" t="s">
        <v>113</v>
      </c>
      <c r="N42" s="125" t="s">
        <v>112</v>
      </c>
      <c r="O42" s="89"/>
      <c r="P42" s="97"/>
    </row>
    <row r="43" spans="1:16" x14ac:dyDescent="0.2">
      <c r="A43" s="127" t="s">
        <v>114</v>
      </c>
      <c r="B43" s="115">
        <v>0</v>
      </c>
      <c r="C43" s="105">
        <f>D43*0.9</f>
        <v>6.6864355518014727E-3</v>
      </c>
      <c r="D43" s="119">
        <v>7.4293728353349697E-3</v>
      </c>
      <c r="E43" s="104">
        <f>D43*1.1</f>
        <v>8.1723101188684675E-3</v>
      </c>
      <c r="F43" s="108">
        <v>6.7000000000000002E-3</v>
      </c>
      <c r="G43" s="119">
        <v>7.4293728353349697E-3</v>
      </c>
      <c r="H43" s="108">
        <v>8.2000000000000007E-3</v>
      </c>
      <c r="I43" s="108">
        <v>0.01</v>
      </c>
      <c r="J43" s="119">
        <v>1.6891979599650973E-2</v>
      </c>
      <c r="K43" s="108">
        <v>2.69E-2</v>
      </c>
      <c r="L43" s="108">
        <f t="shared" ref="L43:L48" si="4">M43*0.85</f>
        <v>4.68778872258468E-2</v>
      </c>
      <c r="M43" s="119">
        <v>5.5150455559819768E-2</v>
      </c>
      <c r="N43" s="110">
        <f t="shared" ref="N43:N48" si="5">M43*1.15</f>
        <v>6.3423023893792729E-2</v>
      </c>
      <c r="O43" s="89"/>
      <c r="P43" s="97"/>
    </row>
    <row r="44" spans="1:16" x14ac:dyDescent="0.2">
      <c r="A44" s="127" t="s">
        <v>115</v>
      </c>
      <c r="B44" s="115">
        <v>10000000</v>
      </c>
      <c r="C44" s="106">
        <f>D44*0.9</f>
        <v>6.6864355518014727E-3</v>
      </c>
      <c r="D44" s="120">
        <v>7.4293728353349697E-3</v>
      </c>
      <c r="E44" s="107">
        <f>D44*1.1</f>
        <v>8.1723101188684675E-3</v>
      </c>
      <c r="F44" s="107">
        <v>6.7000000000000002E-3</v>
      </c>
      <c r="G44" s="120">
        <v>7.4293728353349697E-3</v>
      </c>
      <c r="H44" s="107">
        <v>8.2000000000000007E-3</v>
      </c>
      <c r="I44" s="107">
        <v>0.01</v>
      </c>
      <c r="J44" s="120">
        <v>1.6891979599650973E-2</v>
      </c>
      <c r="K44" s="107">
        <v>2.69E-2</v>
      </c>
      <c r="L44" s="107">
        <f t="shared" si="4"/>
        <v>4.68778872258468E-2</v>
      </c>
      <c r="M44" s="120">
        <v>5.5150455559819768E-2</v>
      </c>
      <c r="N44" s="111">
        <f t="shared" si="5"/>
        <v>6.3423023893792729E-2</v>
      </c>
      <c r="O44" s="89"/>
      <c r="P44" s="97"/>
    </row>
    <row r="45" spans="1:16" x14ac:dyDescent="0.2">
      <c r="A45" s="127" t="s">
        <v>115</v>
      </c>
      <c r="B45" s="116">
        <v>25000000</v>
      </c>
      <c r="C45" s="106">
        <v>3.0000000000000001E-3</v>
      </c>
      <c r="D45" s="120">
        <v>8.0809108565968648E-3</v>
      </c>
      <c r="E45" s="107">
        <v>1.34E-2</v>
      </c>
      <c r="F45" s="107">
        <f>G45*0.9</f>
        <v>8.4278683431487002E-3</v>
      </c>
      <c r="G45" s="120">
        <v>9.364298159054112E-3</v>
      </c>
      <c r="H45" s="107">
        <f>G45*1.1</f>
        <v>1.0300727974959524E-2</v>
      </c>
      <c r="I45" s="107">
        <f>J45*0.9</f>
        <v>6.824441301998792E-3</v>
      </c>
      <c r="J45" s="120">
        <v>7.5827125577764354E-3</v>
      </c>
      <c r="K45" s="107">
        <v>1.3100000000000001E-2</v>
      </c>
      <c r="L45" s="107">
        <f t="shared" si="4"/>
        <v>3.8766580253708832E-3</v>
      </c>
      <c r="M45" s="120">
        <v>4.5607741474951568E-3</v>
      </c>
      <c r="N45" s="111">
        <f t="shared" si="5"/>
        <v>5.2448902696194295E-3</v>
      </c>
      <c r="O45" s="89"/>
      <c r="P45" s="97"/>
    </row>
    <row r="46" spans="1:16" x14ac:dyDescent="0.2">
      <c r="A46" s="127" t="s">
        <v>115</v>
      </c>
      <c r="B46" s="116">
        <v>50000000</v>
      </c>
      <c r="C46" s="106">
        <v>4.0000000000000001E-3</v>
      </c>
      <c r="D46" s="120">
        <v>4.853115988836313E-3</v>
      </c>
      <c r="E46" s="107">
        <v>5.7000000000000002E-3</v>
      </c>
      <c r="F46" s="107">
        <v>4.0000000000000001E-3</v>
      </c>
      <c r="G46" s="120">
        <v>4.853115988836313E-3</v>
      </c>
      <c r="H46" s="107">
        <v>5.7000000000000002E-3</v>
      </c>
      <c r="I46" s="107">
        <v>4.0000000000000001E-3</v>
      </c>
      <c r="J46" s="120">
        <v>4.8999999999999998E-3</v>
      </c>
      <c r="K46" s="107">
        <v>5.7000000000000002E-3</v>
      </c>
      <c r="L46" s="107">
        <f t="shared" si="4"/>
        <v>9.8420624817674978E-3</v>
      </c>
      <c r="M46" s="120">
        <v>1.1578897037373527E-2</v>
      </c>
      <c r="N46" s="111">
        <f t="shared" si="5"/>
        <v>1.3315731592979555E-2</v>
      </c>
      <c r="O46" s="89"/>
      <c r="P46" s="97"/>
    </row>
    <row r="47" spans="1:16" x14ac:dyDescent="0.2">
      <c r="A47" s="127" t="s">
        <v>115</v>
      </c>
      <c r="B47" s="115">
        <v>100000000</v>
      </c>
      <c r="C47" s="106">
        <v>6.1999999999999998E-3</v>
      </c>
      <c r="D47" s="120">
        <v>6.3280639006766956E-3</v>
      </c>
      <c r="E47" s="107">
        <v>6.4999999999999997E-3</v>
      </c>
      <c r="F47" s="106">
        <v>6.1999999999999998E-3</v>
      </c>
      <c r="G47" s="120">
        <v>6.3280639006766956E-3</v>
      </c>
      <c r="H47" s="107">
        <v>6.4999999999999997E-3</v>
      </c>
      <c r="I47" s="107">
        <f>J47*0.9</f>
        <v>3.5463989496080368E-3</v>
      </c>
      <c r="J47" s="120">
        <v>3.9404432773422629E-3</v>
      </c>
      <c r="K47" s="107">
        <f>J47*1.1</f>
        <v>4.3344876050764895E-3</v>
      </c>
      <c r="L47" s="107">
        <f t="shared" si="4"/>
        <v>1.2128914522181299E-2</v>
      </c>
      <c r="M47" s="120">
        <v>1.4269311202566234E-2</v>
      </c>
      <c r="N47" s="111">
        <f t="shared" si="5"/>
        <v>1.640970788295117E-2</v>
      </c>
      <c r="O47" s="89"/>
      <c r="P47" s="97"/>
    </row>
    <row r="48" spans="1:16" ht="13.5" thickBot="1" x14ac:dyDescent="0.25">
      <c r="A48" s="128" t="s">
        <v>116</v>
      </c>
      <c r="B48" s="117">
        <v>100000001</v>
      </c>
      <c r="C48" s="112">
        <v>3.8999999999999998E-3</v>
      </c>
      <c r="D48" s="121">
        <v>4.8402366495873539E-3</v>
      </c>
      <c r="E48" s="113">
        <v>5.4999999999999997E-3</v>
      </c>
      <c r="F48" s="113">
        <f>G48*0.9</f>
        <v>4.9180405795719376E-3</v>
      </c>
      <c r="G48" s="121">
        <v>5.4644895328577079E-3</v>
      </c>
      <c r="H48" s="113">
        <f>G48*1.1</f>
        <v>6.0109384861434792E-3</v>
      </c>
      <c r="I48" s="113">
        <v>4.8999999999999998E-3</v>
      </c>
      <c r="J48" s="121">
        <v>5.4999999999999997E-3</v>
      </c>
      <c r="K48" s="113">
        <v>6.0000000000000001E-3</v>
      </c>
      <c r="L48" s="113">
        <f t="shared" si="4"/>
        <v>1.2154999999999999E-2</v>
      </c>
      <c r="M48" s="121">
        <v>1.43E-2</v>
      </c>
      <c r="N48" s="114">
        <f t="shared" si="5"/>
        <v>1.6444999999999998E-2</v>
      </c>
      <c r="O48" s="91"/>
      <c r="P48" s="97"/>
    </row>
    <row r="49" spans="1:16" x14ac:dyDescent="0.2">
      <c r="A49" s="98"/>
      <c r="B49" s="99"/>
      <c r="C49" s="100"/>
      <c r="D49" s="95"/>
      <c r="E49" s="95"/>
      <c r="F49" s="95"/>
      <c r="G49" s="95"/>
      <c r="H49" s="95"/>
      <c r="I49" s="95"/>
      <c r="J49" s="95"/>
      <c r="K49" s="95"/>
      <c r="L49" s="95"/>
      <c r="M49" s="95"/>
      <c r="N49" s="95"/>
      <c r="O49" s="95"/>
      <c r="P49" s="97"/>
    </row>
    <row r="50" spans="1:16" x14ac:dyDescent="0.2">
      <c r="A50" s="98"/>
      <c r="B50" s="99"/>
      <c r="C50" s="100"/>
      <c r="D50" s="95"/>
      <c r="E50" s="95"/>
      <c r="F50" s="95"/>
      <c r="G50" s="95"/>
      <c r="H50" s="95"/>
      <c r="I50" s="95"/>
      <c r="J50" s="95"/>
      <c r="K50" s="95"/>
      <c r="L50" s="95"/>
      <c r="M50" s="95"/>
      <c r="N50" s="95"/>
      <c r="O50" s="95"/>
      <c r="P50" s="97"/>
    </row>
    <row r="51" spans="1:16" ht="13.5" thickBot="1" x14ac:dyDescent="0.25">
      <c r="A51" s="98"/>
      <c r="B51" s="99"/>
      <c r="C51" s="671"/>
      <c r="D51" s="95"/>
      <c r="E51" s="102"/>
      <c r="F51" s="102"/>
      <c r="G51" s="102"/>
      <c r="H51" s="102"/>
      <c r="I51" s="102"/>
      <c r="J51" s="102"/>
      <c r="K51" s="102"/>
      <c r="L51" s="102"/>
      <c r="M51" s="102"/>
      <c r="N51" s="102"/>
      <c r="O51" s="102"/>
      <c r="P51" s="103"/>
    </row>
    <row r="52" spans="1:16" ht="13.5" thickBot="1" x14ac:dyDescent="0.25">
      <c r="A52" s="680" t="s">
        <v>464</v>
      </c>
      <c r="B52" s="681" t="s">
        <v>477</v>
      </c>
      <c r="C52" s="682" t="s">
        <v>476</v>
      </c>
      <c r="D52" s="683" t="s">
        <v>401</v>
      </c>
    </row>
    <row r="53" spans="1:16" x14ac:dyDescent="0.2">
      <c r="A53" s="672" t="s">
        <v>465</v>
      </c>
      <c r="B53" s="675">
        <v>7.4999999999999997E-2</v>
      </c>
      <c r="C53" s="675">
        <v>7.4999999999999997E-2</v>
      </c>
      <c r="D53" s="685"/>
    </row>
    <row r="54" spans="1:16" x14ac:dyDescent="0.2">
      <c r="A54" s="673" t="s">
        <v>466</v>
      </c>
      <c r="B54" s="798">
        <v>0.08</v>
      </c>
      <c r="C54" s="798">
        <v>0.08</v>
      </c>
      <c r="D54" s="678"/>
    </row>
    <row r="55" spans="1:16" x14ac:dyDescent="0.2">
      <c r="A55" s="673" t="s">
        <v>467</v>
      </c>
      <c r="B55" s="798">
        <v>0.08</v>
      </c>
      <c r="C55" s="798">
        <v>0.08</v>
      </c>
      <c r="D55" s="678"/>
    </row>
    <row r="56" spans="1:16" x14ac:dyDescent="0.2">
      <c r="A56" s="673" t="s">
        <v>468</v>
      </c>
      <c r="B56" s="799">
        <v>0.11</v>
      </c>
      <c r="C56" s="799">
        <v>0.11</v>
      </c>
      <c r="D56" s="678"/>
    </row>
    <row r="57" spans="1:16" x14ac:dyDescent="0.2">
      <c r="A57" s="673" t="s">
        <v>469</v>
      </c>
      <c r="B57" s="799">
        <v>0.11</v>
      </c>
      <c r="C57" s="799">
        <v>0.11</v>
      </c>
      <c r="D57" s="678"/>
    </row>
    <row r="58" spans="1:16" x14ac:dyDescent="0.2">
      <c r="A58" s="673" t="s">
        <v>470</v>
      </c>
      <c r="B58" s="798">
        <v>0.05</v>
      </c>
      <c r="C58" s="798">
        <v>0.05</v>
      </c>
      <c r="D58" s="678"/>
    </row>
    <row r="59" spans="1:16" x14ac:dyDescent="0.2">
      <c r="A59" s="673" t="s">
        <v>471</v>
      </c>
      <c r="B59" s="798">
        <v>0.09</v>
      </c>
      <c r="C59" s="798">
        <v>0.11</v>
      </c>
      <c r="D59" s="678"/>
    </row>
    <row r="60" spans="1:16" x14ac:dyDescent="0.2">
      <c r="A60" s="673" t="s">
        <v>472</v>
      </c>
      <c r="B60" s="798">
        <v>0.08</v>
      </c>
      <c r="C60" s="798">
        <v>0.1</v>
      </c>
      <c r="D60" s="678"/>
    </row>
    <row r="61" spans="1:16" x14ac:dyDescent="0.2">
      <c r="A61" s="673" t="s">
        <v>616</v>
      </c>
      <c r="B61" s="800">
        <v>7.4999999999999997E-2</v>
      </c>
      <c r="C61" s="800">
        <v>7.4999999999999997E-2</v>
      </c>
      <c r="D61" s="678"/>
    </row>
    <row r="62" spans="1:16" x14ac:dyDescent="0.2">
      <c r="A62" s="673" t="s">
        <v>473</v>
      </c>
      <c r="B62" s="800">
        <v>0.05</v>
      </c>
      <c r="C62" s="800">
        <v>0.05</v>
      </c>
      <c r="D62" s="678"/>
    </row>
    <row r="63" spans="1:16" x14ac:dyDescent="0.2">
      <c r="A63" s="796" t="s">
        <v>617</v>
      </c>
      <c r="B63" s="802">
        <v>0.08</v>
      </c>
      <c r="C63" s="798">
        <v>0.08</v>
      </c>
      <c r="D63" s="797"/>
    </row>
    <row r="64" spans="1:16" ht="13.5" thickBot="1" x14ac:dyDescent="0.25">
      <c r="A64" s="674" t="s">
        <v>226</v>
      </c>
      <c r="B64" s="801">
        <f>MAX(B53:B62)</f>
        <v>0.11</v>
      </c>
      <c r="C64" s="803">
        <f>MAX(C53:C62)</f>
        <v>0.11</v>
      </c>
      <c r="D64" s="679"/>
    </row>
    <row r="65" spans="1:4" x14ac:dyDescent="0.2">
      <c r="A65" s="810" t="s">
        <v>479</v>
      </c>
      <c r="B65" s="808"/>
      <c r="C65" s="808"/>
      <c r="D65" s="809">
        <v>0</v>
      </c>
    </row>
    <row r="66" spans="1:4" x14ac:dyDescent="0.2">
      <c r="A66" s="684" t="s">
        <v>478</v>
      </c>
      <c r="B66" s="684"/>
      <c r="C66" s="684"/>
      <c r="D66" s="805">
        <f>MAX(D67:D85)</f>
        <v>0.15</v>
      </c>
    </row>
    <row r="67" spans="1:4" x14ac:dyDescent="0.2">
      <c r="A67" s="811" t="s">
        <v>474</v>
      </c>
      <c r="B67" s="673"/>
      <c r="C67" s="676"/>
      <c r="D67" s="804">
        <v>0.12</v>
      </c>
    </row>
    <row r="68" spans="1:4" x14ac:dyDescent="0.2">
      <c r="A68" s="811" t="s">
        <v>618</v>
      </c>
      <c r="B68" s="673"/>
      <c r="C68" s="676"/>
      <c r="D68" s="805">
        <v>0.12</v>
      </c>
    </row>
    <row r="69" spans="1:4" x14ac:dyDescent="0.2">
      <c r="A69" s="811" t="s">
        <v>619</v>
      </c>
      <c r="B69" s="673"/>
      <c r="C69" s="676"/>
      <c r="D69" s="806">
        <v>0.115</v>
      </c>
    </row>
    <row r="70" spans="1:4" x14ac:dyDescent="0.2">
      <c r="A70" s="811" t="s">
        <v>620</v>
      </c>
      <c r="B70" s="673"/>
      <c r="C70" s="676"/>
      <c r="D70" s="806">
        <v>0.12</v>
      </c>
    </row>
    <row r="71" spans="1:4" x14ac:dyDescent="0.2">
      <c r="A71" s="811" t="s">
        <v>621</v>
      </c>
      <c r="B71" s="673"/>
      <c r="C71" s="676"/>
      <c r="D71" s="806">
        <v>9.5000000000000001E-2</v>
      </c>
    </row>
    <row r="72" spans="1:4" x14ac:dyDescent="0.2">
      <c r="A72" s="811" t="s">
        <v>622</v>
      </c>
      <c r="B72" s="673"/>
      <c r="C72" s="676"/>
      <c r="D72" s="806">
        <v>0.1235</v>
      </c>
    </row>
    <row r="73" spans="1:4" x14ac:dyDescent="0.2">
      <c r="A73" s="811" t="s">
        <v>623</v>
      </c>
      <c r="B73" s="673"/>
      <c r="C73" s="676"/>
      <c r="D73" s="806">
        <v>0.1</v>
      </c>
    </row>
    <row r="74" spans="1:4" x14ac:dyDescent="0.2">
      <c r="A74" s="812" t="s">
        <v>624</v>
      </c>
      <c r="B74" s="673"/>
      <c r="C74" s="676"/>
      <c r="D74" s="806">
        <v>0.12</v>
      </c>
    </row>
    <row r="75" spans="1:4" x14ac:dyDescent="0.2">
      <c r="A75" s="812" t="s">
        <v>625</v>
      </c>
      <c r="B75" s="673"/>
      <c r="C75" s="676"/>
      <c r="D75" s="806">
        <v>0.15</v>
      </c>
    </row>
    <row r="76" spans="1:4" x14ac:dyDescent="0.2">
      <c r="A76" s="812" t="s">
        <v>475</v>
      </c>
      <c r="B76" s="673"/>
      <c r="C76" s="676"/>
      <c r="D76" s="806">
        <v>0.13</v>
      </c>
    </row>
    <row r="77" spans="1:4" x14ac:dyDescent="0.2">
      <c r="A77" s="812" t="s">
        <v>626</v>
      </c>
      <c r="B77" s="673"/>
      <c r="C77" s="676"/>
      <c r="D77" s="804">
        <v>0.12</v>
      </c>
    </row>
    <row r="78" spans="1:4" x14ac:dyDescent="0.2">
      <c r="A78" s="812" t="s">
        <v>627</v>
      </c>
      <c r="B78" s="673"/>
      <c r="C78" s="676"/>
      <c r="D78" s="805">
        <v>0.12</v>
      </c>
    </row>
    <row r="79" spans="1:4" x14ac:dyDescent="0.2">
      <c r="A79" s="811" t="s">
        <v>628</v>
      </c>
      <c r="B79" s="673"/>
      <c r="C79" s="676"/>
      <c r="D79" s="806">
        <v>0.13700000000000001</v>
      </c>
    </row>
    <row r="80" spans="1:4" x14ac:dyDescent="0.2">
      <c r="A80" s="811" t="s">
        <v>629</v>
      </c>
      <c r="B80" s="673"/>
      <c r="C80" s="676"/>
      <c r="D80" s="806">
        <v>7.4999999999999997E-2</v>
      </c>
    </row>
    <row r="81" spans="1:4" x14ac:dyDescent="0.2">
      <c r="A81" s="811" t="s">
        <v>630</v>
      </c>
      <c r="B81" s="673"/>
      <c r="C81" s="676"/>
      <c r="D81" s="806">
        <v>0.12</v>
      </c>
    </row>
    <row r="82" spans="1:4" x14ac:dyDescent="0.2">
      <c r="A82" s="812" t="s">
        <v>631</v>
      </c>
      <c r="B82" s="673"/>
      <c r="C82" s="676"/>
      <c r="D82" s="806">
        <v>0.11</v>
      </c>
    </row>
    <row r="83" spans="1:4" x14ac:dyDescent="0.2">
      <c r="A83" s="812" t="s">
        <v>632</v>
      </c>
      <c r="B83" s="673"/>
      <c r="C83" s="676"/>
      <c r="D83" s="806">
        <v>0.115</v>
      </c>
    </row>
    <row r="84" spans="1:4" x14ac:dyDescent="0.2">
      <c r="A84" s="812" t="s">
        <v>633</v>
      </c>
      <c r="B84" s="673"/>
      <c r="C84" s="676"/>
      <c r="D84" s="806">
        <v>0.09</v>
      </c>
    </row>
    <row r="85" spans="1:4" ht="13.5" thickBot="1" x14ac:dyDescent="0.25">
      <c r="A85" s="813" t="s">
        <v>634</v>
      </c>
      <c r="B85" s="674"/>
      <c r="C85" s="677"/>
      <c r="D85" s="807">
        <v>0.12</v>
      </c>
    </row>
  </sheetData>
  <mergeCells count="20">
    <mergeCell ref="A1:A2"/>
    <mergeCell ref="A25:A26"/>
    <mergeCell ref="B13:B14"/>
    <mergeCell ref="C13:C14"/>
    <mergeCell ref="D13:D14"/>
    <mergeCell ref="B25:B26"/>
    <mergeCell ref="C25:C26"/>
    <mergeCell ref="D25:D26"/>
    <mergeCell ref="G25:G26"/>
    <mergeCell ref="G13:G14"/>
    <mergeCell ref="F13:F14"/>
    <mergeCell ref="E13:E14"/>
    <mergeCell ref="L41:N41"/>
    <mergeCell ref="I41:K41"/>
    <mergeCell ref="F41:H41"/>
    <mergeCell ref="C41:E41"/>
    <mergeCell ref="E25:E26"/>
    <mergeCell ref="F25:F26"/>
    <mergeCell ref="H25:H26"/>
    <mergeCell ref="H13:H14"/>
  </mergeCells>
  <phoneticPr fontId="0" type="noConversion"/>
  <pageMargins left="0.25" right="0.39374999999999999" top="0.75" bottom="0.75" header="0.3" footer="0.3"/>
  <pageSetup scale="79" orientation="landscape" r:id="rId1"/>
  <headerFooter>
    <oddHeader>&amp;LPrinted  &amp;D  &amp;T&amp;R&amp;P</oddHeader>
    <oddFooter>&amp;L&amp;F&amp;C&amp;A&amp;RBudget Version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tabColor theme="7" tint="-0.499984740745262"/>
  </sheetPr>
  <dimension ref="A1:BD127"/>
  <sheetViews>
    <sheetView topLeftCell="AB1" zoomScale="60" zoomScaleNormal="60" workbookViewId="0">
      <selection activeCell="AM14" sqref="AM14"/>
    </sheetView>
  </sheetViews>
  <sheetFormatPr defaultColWidth="9.140625" defaultRowHeight="12.75" x14ac:dyDescent="0.2"/>
  <cols>
    <col min="1" max="1" width="2.85546875" style="19" customWidth="1"/>
    <col min="2" max="2" width="26.7109375" style="19" customWidth="1"/>
    <col min="3" max="3" width="10.140625" style="19" bestFit="1" customWidth="1"/>
    <col min="4" max="4" width="7.42578125" style="19" bestFit="1" customWidth="1"/>
    <col min="5" max="5" width="9.28515625" style="19" bestFit="1" customWidth="1"/>
    <col min="6" max="6" width="11.140625" style="19" bestFit="1" customWidth="1"/>
    <col min="7" max="7" width="10.140625" style="19" bestFit="1" customWidth="1"/>
    <col min="8" max="8" width="10.42578125" style="19" customWidth="1"/>
    <col min="9" max="9" width="2.85546875" style="19" customWidth="1"/>
    <col min="10" max="10" width="9.140625" style="19"/>
    <col min="11" max="11" width="2.85546875" style="19" customWidth="1"/>
    <col min="12" max="12" width="28.42578125" style="19" customWidth="1"/>
    <col min="13" max="13" width="9.140625" style="19"/>
    <col min="14" max="14" width="143.85546875" style="19" customWidth="1"/>
    <col min="15" max="15" width="9.140625" style="19" customWidth="1"/>
    <col min="16" max="22" width="9.140625" style="19"/>
    <col min="23" max="23" width="71.85546875" style="19" customWidth="1"/>
    <col min="24" max="33" width="9.140625" style="19"/>
    <col min="34" max="34" width="2.85546875" style="19" customWidth="1"/>
    <col min="35" max="35" width="40.7109375" style="19" customWidth="1"/>
    <col min="36" max="36" width="12.28515625" style="19" customWidth="1"/>
    <col min="37" max="37" width="15" style="19" bestFit="1" customWidth="1"/>
    <col min="38" max="38" width="10.7109375" style="19" bestFit="1" customWidth="1"/>
    <col min="39" max="44" width="11.28515625" style="19" customWidth="1"/>
    <col min="45" max="45" width="2.7109375" style="19" customWidth="1"/>
    <col min="46" max="46" width="40.42578125" style="19" customWidth="1"/>
    <col min="47" max="47" width="12.42578125" style="19" customWidth="1"/>
    <col min="48" max="48" width="13.85546875" style="19" bestFit="1" customWidth="1"/>
    <col min="49" max="49" width="9.28515625" style="19" customWidth="1"/>
    <col min="50" max="55" width="11.28515625" style="19" customWidth="1"/>
    <col min="56" max="56" width="2.85546875" style="19" customWidth="1"/>
    <col min="57" max="16384" width="9.140625" style="19"/>
  </cols>
  <sheetData>
    <row r="1" spans="1:42" ht="15" customHeight="1" thickBot="1" x14ac:dyDescent="0.25">
      <c r="A1" s="977"/>
      <c r="B1" s="977"/>
      <c r="C1" s="977"/>
      <c r="D1" s="977"/>
      <c r="E1" s="977"/>
      <c r="F1" s="977"/>
      <c r="G1" s="977"/>
      <c r="H1" s="977"/>
      <c r="I1" s="977"/>
      <c r="AH1" s="148"/>
      <c r="AI1" s="149"/>
      <c r="AJ1" s="149"/>
      <c r="AK1" s="149"/>
      <c r="AL1" s="149"/>
      <c r="AM1" s="149"/>
      <c r="AN1" s="149"/>
      <c r="AO1" s="149"/>
      <c r="AP1" s="142"/>
    </row>
    <row r="2" spans="1:42" ht="15" customHeight="1" x14ac:dyDescent="0.2">
      <c r="A2" s="977"/>
      <c r="B2" s="978" t="s">
        <v>369</v>
      </c>
      <c r="C2" s="978"/>
      <c r="D2" s="978"/>
      <c r="E2" s="978"/>
      <c r="F2" s="978"/>
      <c r="G2" s="978"/>
      <c r="H2" s="978"/>
      <c r="I2" s="977"/>
      <c r="K2" s="343"/>
      <c r="L2" s="344"/>
      <c r="M2" s="344"/>
      <c r="N2" s="344"/>
      <c r="O2" s="344"/>
      <c r="P2" s="344"/>
      <c r="Q2" s="344"/>
      <c r="R2" s="344"/>
      <c r="S2" s="344"/>
      <c r="T2" s="344"/>
      <c r="U2" s="344"/>
      <c r="V2" s="345"/>
      <c r="AH2" s="144"/>
      <c r="AI2" s="979" t="s">
        <v>134</v>
      </c>
      <c r="AJ2" s="980"/>
      <c r="AK2" s="980"/>
      <c r="AL2" s="980"/>
      <c r="AM2" s="980"/>
      <c r="AN2" s="980"/>
      <c r="AO2" s="981"/>
      <c r="AP2" s="143"/>
    </row>
    <row r="3" spans="1:42" ht="15" customHeight="1" thickBot="1" x14ac:dyDescent="0.35">
      <c r="A3" s="977"/>
      <c r="B3" s="978"/>
      <c r="C3" s="978"/>
      <c r="D3" s="978"/>
      <c r="E3" s="978"/>
      <c r="F3" s="978"/>
      <c r="G3" s="978"/>
      <c r="H3" s="978"/>
      <c r="I3" s="977"/>
      <c r="K3" s="693" t="s">
        <v>310</v>
      </c>
      <c r="L3" s="695"/>
      <c r="M3" s="695"/>
      <c r="N3" s="695"/>
      <c r="O3" s="695"/>
      <c r="P3" s="695"/>
      <c r="Q3" s="695"/>
      <c r="R3" s="695"/>
      <c r="S3" s="695"/>
      <c r="T3" s="695"/>
      <c r="U3" s="695"/>
      <c r="V3" s="701"/>
      <c r="AH3" s="144"/>
      <c r="AI3" s="985"/>
      <c r="AJ3" s="986"/>
      <c r="AK3" s="986"/>
      <c r="AL3" s="986"/>
      <c r="AM3" s="986"/>
      <c r="AN3" s="986"/>
      <c r="AO3" s="987"/>
      <c r="AP3" s="143"/>
    </row>
    <row r="4" spans="1:42" ht="15" customHeight="1" thickBot="1" x14ac:dyDescent="0.3">
      <c r="A4" s="977"/>
      <c r="B4" s="978"/>
      <c r="C4" s="978"/>
      <c r="D4" s="978"/>
      <c r="E4" s="978"/>
      <c r="F4" s="978"/>
      <c r="G4" s="978"/>
      <c r="H4" s="978"/>
      <c r="I4" s="977"/>
      <c r="K4" s="340"/>
      <c r="L4" s="702" t="s">
        <v>311</v>
      </c>
      <c r="M4" s="696"/>
      <c r="N4" s="696"/>
      <c r="O4" s="696"/>
      <c r="P4" s="696"/>
      <c r="Q4" s="696"/>
      <c r="R4" s="696"/>
      <c r="S4" s="696"/>
      <c r="T4" s="696"/>
      <c r="U4" s="696"/>
      <c r="V4" s="703"/>
      <c r="AH4" s="144"/>
      <c r="AI4" s="138"/>
      <c r="AJ4" s="138"/>
      <c r="AK4" s="138"/>
      <c r="AL4" s="138"/>
      <c r="AM4" s="138"/>
      <c r="AN4" s="138"/>
      <c r="AO4" s="138"/>
      <c r="AP4" s="143"/>
    </row>
    <row r="5" spans="1:42" ht="15" customHeight="1" thickBot="1" x14ac:dyDescent="0.3">
      <c r="A5" s="977"/>
      <c r="B5" s="978"/>
      <c r="C5" s="978"/>
      <c r="D5" s="978"/>
      <c r="E5" s="978"/>
      <c r="F5" s="978"/>
      <c r="G5" s="978"/>
      <c r="H5" s="978"/>
      <c r="I5" s="977"/>
      <c r="K5" s="340"/>
      <c r="L5" s="696"/>
      <c r="M5" s="696"/>
      <c r="N5" s="696"/>
      <c r="O5" s="696"/>
      <c r="P5" s="696"/>
      <c r="Q5" s="696"/>
      <c r="R5" s="696"/>
      <c r="S5" s="696"/>
      <c r="T5" s="696"/>
      <c r="U5" s="696"/>
      <c r="V5" s="703"/>
      <c r="AH5" s="144"/>
      <c r="AI5" s="997"/>
      <c r="AJ5" s="994" t="s">
        <v>107</v>
      </c>
      <c r="AK5" s="995"/>
      <c r="AL5" s="996"/>
      <c r="AM5" s="991" t="s">
        <v>92</v>
      </c>
      <c r="AN5" s="992"/>
      <c r="AO5" s="993"/>
      <c r="AP5" s="143"/>
    </row>
    <row r="6" spans="1:42" ht="15" customHeight="1" thickBot="1" x14ac:dyDescent="0.3">
      <c r="A6" s="977"/>
      <c r="B6" s="978"/>
      <c r="C6" s="978"/>
      <c r="D6" s="978"/>
      <c r="E6" s="978"/>
      <c r="F6" s="978"/>
      <c r="G6" s="978"/>
      <c r="H6" s="978"/>
      <c r="I6" s="977"/>
      <c r="K6" s="340"/>
      <c r="L6" s="696"/>
      <c r="M6" s="704" t="s">
        <v>257</v>
      </c>
      <c r="N6" s="697" t="s">
        <v>346</v>
      </c>
      <c r="O6" s="697"/>
      <c r="P6" s="697"/>
      <c r="Q6" s="697"/>
      <c r="R6" s="697"/>
      <c r="S6" s="697"/>
      <c r="T6" s="697"/>
      <c r="U6" s="697"/>
      <c r="V6" s="705"/>
      <c r="AH6" s="144"/>
      <c r="AI6" s="998"/>
      <c r="AJ6" s="1000" t="s">
        <v>4</v>
      </c>
      <c r="AK6" s="1001"/>
      <c r="AL6" s="1002"/>
      <c r="AM6" s="1000" t="s">
        <v>4</v>
      </c>
      <c r="AN6" s="1001"/>
      <c r="AO6" s="1002"/>
      <c r="AP6" s="143"/>
    </row>
    <row r="7" spans="1:42" ht="15" customHeight="1" thickBot="1" x14ac:dyDescent="0.3">
      <c r="A7" s="977"/>
      <c r="B7" s="978"/>
      <c r="C7" s="978"/>
      <c r="D7" s="978"/>
      <c r="E7" s="978"/>
      <c r="F7" s="978"/>
      <c r="G7" s="978"/>
      <c r="H7" s="978"/>
      <c r="I7" s="977"/>
      <c r="K7" s="340"/>
      <c r="L7" s="696"/>
      <c r="M7" s="706"/>
      <c r="N7" s="697"/>
      <c r="O7" s="697"/>
      <c r="P7" s="697"/>
      <c r="Q7" s="697"/>
      <c r="R7" s="697"/>
      <c r="S7" s="697"/>
      <c r="T7" s="697"/>
      <c r="U7" s="697"/>
      <c r="V7" s="705"/>
      <c r="AH7" s="144"/>
      <c r="AI7" s="999"/>
      <c r="AJ7" s="135" t="s">
        <v>3</v>
      </c>
      <c r="AK7" s="139" t="s">
        <v>2</v>
      </c>
      <c r="AL7" s="134" t="s">
        <v>1</v>
      </c>
      <c r="AM7" s="135" t="s">
        <v>3</v>
      </c>
      <c r="AN7" s="139" t="s">
        <v>2</v>
      </c>
      <c r="AO7" s="134" t="s">
        <v>1</v>
      </c>
      <c r="AP7" s="143"/>
    </row>
    <row r="8" spans="1:42" ht="15" customHeight="1" x14ac:dyDescent="0.25">
      <c r="A8" s="977"/>
      <c r="B8" s="978"/>
      <c r="C8" s="978"/>
      <c r="D8" s="978"/>
      <c r="E8" s="978"/>
      <c r="F8" s="978"/>
      <c r="G8" s="978"/>
      <c r="H8" s="978"/>
      <c r="I8" s="977"/>
      <c r="K8" s="347"/>
      <c r="L8" s="694"/>
      <c r="M8" s="707"/>
      <c r="N8" s="698"/>
      <c r="O8" s="698"/>
      <c r="P8" s="698"/>
      <c r="Q8" s="698"/>
      <c r="R8" s="698"/>
      <c r="S8" s="698"/>
      <c r="T8" s="698"/>
      <c r="U8" s="698"/>
      <c r="V8" s="708"/>
      <c r="AH8" s="144"/>
      <c r="AI8" s="239" t="s">
        <v>131</v>
      </c>
      <c r="AJ8" s="136">
        <v>155</v>
      </c>
      <c r="AK8" s="140">
        <v>155</v>
      </c>
      <c r="AL8" s="82">
        <v>155</v>
      </c>
      <c r="AM8" s="136">
        <v>155</v>
      </c>
      <c r="AN8" s="140">
        <v>155</v>
      </c>
      <c r="AO8" s="82">
        <v>155</v>
      </c>
      <c r="AP8" s="143"/>
    </row>
    <row r="9" spans="1:42" ht="15" customHeight="1" x14ac:dyDescent="0.25">
      <c r="A9" s="977"/>
      <c r="B9" s="978"/>
      <c r="C9" s="978"/>
      <c r="D9" s="978"/>
      <c r="E9" s="978"/>
      <c r="F9" s="978"/>
      <c r="G9" s="978"/>
      <c r="H9" s="978"/>
      <c r="I9" s="977"/>
      <c r="K9" s="340"/>
      <c r="L9" s="696"/>
      <c r="M9" s="704" t="s">
        <v>258</v>
      </c>
      <c r="N9" s="697" t="s">
        <v>347</v>
      </c>
      <c r="O9" s="697"/>
      <c r="P9" s="697"/>
      <c r="Q9" s="697"/>
      <c r="R9" s="697"/>
      <c r="S9" s="697"/>
      <c r="T9" s="697"/>
      <c r="U9" s="697"/>
      <c r="V9" s="705"/>
      <c r="AH9" s="144"/>
      <c r="AI9" s="240" t="s">
        <v>128</v>
      </c>
      <c r="AJ9" s="136">
        <v>352</v>
      </c>
      <c r="AK9" s="140">
        <v>352</v>
      </c>
      <c r="AL9" s="82">
        <v>352</v>
      </c>
      <c r="AM9" s="136">
        <v>100</v>
      </c>
      <c r="AN9" s="140">
        <v>100</v>
      </c>
      <c r="AO9" s="82">
        <v>100</v>
      </c>
      <c r="AP9" s="143"/>
    </row>
    <row r="10" spans="1:42" ht="15" customHeight="1" x14ac:dyDescent="0.25">
      <c r="A10" s="977"/>
      <c r="B10" s="978"/>
      <c r="C10" s="978"/>
      <c r="D10" s="978"/>
      <c r="E10" s="978"/>
      <c r="F10" s="978"/>
      <c r="G10" s="978"/>
      <c r="H10" s="978"/>
      <c r="I10" s="977"/>
      <c r="K10" s="340"/>
      <c r="L10" s="696"/>
      <c r="M10" s="706"/>
      <c r="N10" s="697"/>
      <c r="O10" s="697"/>
      <c r="P10" s="697"/>
      <c r="Q10" s="697"/>
      <c r="R10" s="697"/>
      <c r="S10" s="697"/>
      <c r="T10" s="697"/>
      <c r="U10" s="697"/>
      <c r="V10" s="705"/>
      <c r="AH10" s="144"/>
      <c r="AI10" s="240" t="s">
        <v>99</v>
      </c>
      <c r="AJ10" s="136">
        <v>250</v>
      </c>
      <c r="AK10" s="140">
        <v>317</v>
      </c>
      <c r="AL10" s="82">
        <v>370</v>
      </c>
      <c r="AM10" s="136">
        <v>120</v>
      </c>
      <c r="AN10" s="140">
        <v>154</v>
      </c>
      <c r="AO10" s="82">
        <v>200</v>
      </c>
      <c r="AP10" s="143"/>
    </row>
    <row r="11" spans="1:42" ht="15" customHeight="1" x14ac:dyDescent="0.25">
      <c r="A11" s="977"/>
      <c r="B11" s="978"/>
      <c r="C11" s="978"/>
      <c r="D11" s="978"/>
      <c r="E11" s="978"/>
      <c r="F11" s="978"/>
      <c r="G11" s="978"/>
      <c r="H11" s="978"/>
      <c r="I11" s="977"/>
      <c r="K11" s="340"/>
      <c r="L11" s="696"/>
      <c r="M11" s="706"/>
      <c r="N11" s="699"/>
      <c r="O11" s="699"/>
      <c r="P11" s="699"/>
      <c r="Q11" s="699"/>
      <c r="R11" s="699"/>
      <c r="S11" s="699"/>
      <c r="T11" s="699"/>
      <c r="U11" s="699"/>
      <c r="V11" s="709"/>
      <c r="AH11" s="144"/>
      <c r="AI11" s="240" t="s">
        <v>130</v>
      </c>
      <c r="AJ11" s="136">
        <v>210</v>
      </c>
      <c r="AK11" s="140">
        <v>210</v>
      </c>
      <c r="AL11" s="82">
        <v>210</v>
      </c>
      <c r="AM11" s="136">
        <v>210</v>
      </c>
      <c r="AN11" s="140">
        <v>210</v>
      </c>
      <c r="AO11" s="82">
        <v>210</v>
      </c>
      <c r="AP11" s="143"/>
    </row>
    <row r="12" spans="1:42" ht="15" customHeight="1" x14ac:dyDescent="0.25">
      <c r="A12" s="977"/>
      <c r="B12" s="978"/>
      <c r="C12" s="978"/>
      <c r="D12" s="978"/>
      <c r="E12" s="978"/>
      <c r="F12" s="978"/>
      <c r="G12" s="978"/>
      <c r="H12" s="978"/>
      <c r="I12" s="977"/>
      <c r="K12" s="347"/>
      <c r="L12" s="694"/>
      <c r="M12" s="707"/>
      <c r="N12" s="698"/>
      <c r="O12" s="698"/>
      <c r="P12" s="698"/>
      <c r="Q12" s="698"/>
      <c r="R12" s="698"/>
      <c r="S12" s="698"/>
      <c r="T12" s="698"/>
      <c r="U12" s="698"/>
      <c r="V12" s="708"/>
      <c r="AH12" s="144"/>
      <c r="AI12" s="240" t="s">
        <v>133</v>
      </c>
      <c r="AJ12" s="136">
        <v>84</v>
      </c>
      <c r="AK12" s="140">
        <v>84</v>
      </c>
      <c r="AL12" s="82">
        <v>84</v>
      </c>
      <c r="AM12" s="136">
        <v>84</v>
      </c>
      <c r="AN12" s="140">
        <v>84</v>
      </c>
      <c r="AO12" s="82">
        <v>84</v>
      </c>
      <c r="AP12" s="143"/>
    </row>
    <row r="13" spans="1:42" ht="15" customHeight="1" x14ac:dyDescent="0.25">
      <c r="A13" s="977"/>
      <c r="B13" s="978"/>
      <c r="C13" s="978"/>
      <c r="D13" s="978"/>
      <c r="E13" s="978"/>
      <c r="F13" s="978"/>
      <c r="G13" s="978"/>
      <c r="H13" s="978"/>
      <c r="I13" s="977"/>
      <c r="K13" s="340"/>
      <c r="L13" s="696"/>
      <c r="M13" s="704" t="s">
        <v>119</v>
      </c>
      <c r="N13" s="710" t="s">
        <v>370</v>
      </c>
      <c r="O13" s="697"/>
      <c r="P13" s="697"/>
      <c r="Q13" s="697"/>
      <c r="R13" s="697"/>
      <c r="S13" s="697"/>
      <c r="T13" s="697"/>
      <c r="U13" s="697"/>
      <c r="V13" s="705"/>
      <c r="AH13" s="144"/>
      <c r="AI13" s="240" t="s">
        <v>126</v>
      </c>
      <c r="AJ13" s="136">
        <v>300</v>
      </c>
      <c r="AK13" s="140">
        <v>350</v>
      </c>
      <c r="AL13" s="82">
        <v>450</v>
      </c>
      <c r="AM13" s="136">
        <v>240</v>
      </c>
      <c r="AN13" s="140">
        <v>365</v>
      </c>
      <c r="AO13" s="82">
        <v>500</v>
      </c>
      <c r="AP13" s="143"/>
    </row>
    <row r="14" spans="1:42" ht="15" customHeight="1" x14ac:dyDescent="0.25">
      <c r="A14" s="977"/>
      <c r="B14" s="978"/>
      <c r="C14" s="978"/>
      <c r="D14" s="978"/>
      <c r="E14" s="978"/>
      <c r="F14" s="978"/>
      <c r="G14" s="978"/>
      <c r="H14" s="978"/>
      <c r="I14" s="977"/>
      <c r="K14" s="340"/>
      <c r="L14" s="696"/>
      <c r="M14" s="706"/>
      <c r="N14" s="697"/>
      <c r="O14" s="697"/>
      <c r="P14" s="697"/>
      <c r="Q14" s="697"/>
      <c r="R14" s="697"/>
      <c r="S14" s="697"/>
      <c r="T14" s="697"/>
      <c r="U14" s="697"/>
      <c r="V14" s="705"/>
      <c r="AH14" s="144"/>
      <c r="AI14" s="240" t="s">
        <v>123</v>
      </c>
      <c r="AJ14" s="136">
        <v>290</v>
      </c>
      <c r="AK14" s="140">
        <v>431</v>
      </c>
      <c r="AL14" s="82">
        <v>475</v>
      </c>
      <c r="AM14" s="136">
        <v>215</v>
      </c>
      <c r="AN14" s="140">
        <v>274</v>
      </c>
      <c r="AO14" s="82">
        <v>330</v>
      </c>
      <c r="AP14" s="143"/>
    </row>
    <row r="15" spans="1:42" ht="15" customHeight="1" x14ac:dyDescent="0.25">
      <c r="A15" s="977"/>
      <c r="B15" s="978"/>
      <c r="C15" s="978"/>
      <c r="D15" s="978"/>
      <c r="E15" s="978"/>
      <c r="F15" s="978"/>
      <c r="G15" s="978"/>
      <c r="H15" s="978"/>
      <c r="I15" s="977"/>
      <c r="K15" s="347"/>
      <c r="L15" s="694"/>
      <c r="M15" s="707"/>
      <c r="N15" s="697"/>
      <c r="O15" s="697"/>
      <c r="P15" s="697"/>
      <c r="Q15" s="697"/>
      <c r="R15" s="697"/>
      <c r="S15" s="697"/>
      <c r="T15" s="697"/>
      <c r="U15" s="697"/>
      <c r="V15" s="705"/>
      <c r="AH15" s="144"/>
      <c r="AI15" s="240" t="s">
        <v>16</v>
      </c>
      <c r="AJ15" s="136">
        <v>298</v>
      </c>
      <c r="AK15" s="140">
        <v>298</v>
      </c>
      <c r="AL15" s="82">
        <v>298</v>
      </c>
      <c r="AM15" s="136">
        <v>170</v>
      </c>
      <c r="AN15" s="140">
        <v>199</v>
      </c>
      <c r="AO15" s="82">
        <v>300</v>
      </c>
      <c r="AP15" s="143"/>
    </row>
    <row r="16" spans="1:42" ht="15" customHeight="1" x14ac:dyDescent="0.25">
      <c r="A16" s="977"/>
      <c r="B16" s="978"/>
      <c r="C16" s="978"/>
      <c r="D16" s="978"/>
      <c r="E16" s="978"/>
      <c r="F16" s="978"/>
      <c r="G16" s="978"/>
      <c r="H16" s="978"/>
      <c r="I16" s="977"/>
      <c r="K16" s="340"/>
      <c r="L16" s="696"/>
      <c r="M16" s="711"/>
      <c r="N16" s="699"/>
      <c r="O16" s="699"/>
      <c r="P16" s="699"/>
      <c r="Q16" s="699"/>
      <c r="R16" s="699"/>
      <c r="S16" s="699"/>
      <c r="T16" s="699"/>
      <c r="U16" s="699"/>
      <c r="V16" s="709"/>
      <c r="AH16" s="144"/>
      <c r="AI16" s="240" t="s">
        <v>124</v>
      </c>
      <c r="AJ16" s="136">
        <v>300</v>
      </c>
      <c r="AK16" s="140">
        <v>312</v>
      </c>
      <c r="AL16" s="82">
        <v>325</v>
      </c>
      <c r="AM16" s="136">
        <v>164</v>
      </c>
      <c r="AN16" s="140">
        <v>211</v>
      </c>
      <c r="AO16" s="82">
        <v>280</v>
      </c>
      <c r="AP16" s="143"/>
    </row>
    <row r="17" spans="1:56" ht="15" customHeight="1" x14ac:dyDescent="0.25">
      <c r="A17" s="977"/>
      <c r="B17" s="978"/>
      <c r="C17" s="978"/>
      <c r="D17" s="978"/>
      <c r="E17" s="978"/>
      <c r="F17" s="978"/>
      <c r="G17" s="978"/>
      <c r="H17" s="978"/>
      <c r="I17" s="977"/>
      <c r="K17" s="347"/>
      <c r="L17" s="696"/>
      <c r="M17" s="704" t="s">
        <v>345</v>
      </c>
      <c r="N17" s="699" t="s">
        <v>312</v>
      </c>
      <c r="O17" s="712"/>
      <c r="P17" s="699"/>
      <c r="Q17" s="699"/>
      <c r="R17" s="699"/>
      <c r="S17" s="699"/>
      <c r="T17" s="699"/>
      <c r="U17" s="699"/>
      <c r="V17" s="709"/>
      <c r="AH17" s="144"/>
      <c r="AI17" s="240" t="s">
        <v>129</v>
      </c>
      <c r="AJ17" s="136">
        <v>51</v>
      </c>
      <c r="AK17" s="140">
        <v>51</v>
      </c>
      <c r="AL17" s="82">
        <v>51</v>
      </c>
      <c r="AM17" s="136">
        <v>51</v>
      </c>
      <c r="AN17" s="140">
        <v>51</v>
      </c>
      <c r="AO17" s="82">
        <v>51</v>
      </c>
      <c r="AP17" s="143"/>
    </row>
    <row r="18" spans="1:56" ht="15" customHeight="1" x14ac:dyDescent="0.25">
      <c r="A18" s="977"/>
      <c r="B18" s="978"/>
      <c r="C18" s="978"/>
      <c r="D18" s="978"/>
      <c r="E18" s="978"/>
      <c r="F18" s="978"/>
      <c r="G18" s="978"/>
      <c r="H18" s="978"/>
      <c r="I18" s="977"/>
      <c r="K18" s="347"/>
      <c r="L18" s="694"/>
      <c r="M18" s="707"/>
      <c r="N18" s="694"/>
      <c r="O18" s="694"/>
      <c r="P18" s="694"/>
      <c r="Q18" s="694"/>
      <c r="R18" s="694"/>
      <c r="S18" s="694"/>
      <c r="T18" s="694"/>
      <c r="U18" s="694"/>
      <c r="V18" s="346"/>
      <c r="AH18" s="144"/>
      <c r="AI18" s="240" t="s">
        <v>125</v>
      </c>
      <c r="AJ18" s="136">
        <v>300</v>
      </c>
      <c r="AK18" s="140">
        <v>327</v>
      </c>
      <c r="AL18" s="82">
        <v>360</v>
      </c>
      <c r="AM18" s="136">
        <v>190</v>
      </c>
      <c r="AN18" s="140">
        <v>238</v>
      </c>
      <c r="AO18" s="82">
        <v>290</v>
      </c>
      <c r="AP18" s="143"/>
    </row>
    <row r="19" spans="1:56" ht="15" customHeight="1" x14ac:dyDescent="0.25">
      <c r="A19" s="977"/>
      <c r="B19" s="978"/>
      <c r="C19" s="978"/>
      <c r="D19" s="978"/>
      <c r="E19" s="978"/>
      <c r="F19" s="978"/>
      <c r="G19" s="978"/>
      <c r="H19" s="978"/>
      <c r="I19" s="977"/>
      <c r="K19" s="347"/>
      <c r="L19" s="696"/>
      <c r="M19" s="704" t="s">
        <v>313</v>
      </c>
      <c r="N19" s="696"/>
      <c r="O19" s="1028" t="s">
        <v>314</v>
      </c>
      <c r="P19" s="1028"/>
      <c r="Q19" s="696"/>
      <c r="R19" s="696"/>
      <c r="S19" s="696"/>
      <c r="T19" s="696"/>
      <c r="U19" s="696"/>
      <c r="V19" s="703"/>
      <c r="AH19" s="144"/>
      <c r="AI19" s="240" t="s">
        <v>122</v>
      </c>
      <c r="AJ19" s="136">
        <v>200</v>
      </c>
      <c r="AK19" s="140">
        <v>233</v>
      </c>
      <c r="AL19" s="82">
        <v>330</v>
      </c>
      <c r="AM19" s="136">
        <v>100</v>
      </c>
      <c r="AN19" s="140">
        <v>153</v>
      </c>
      <c r="AO19" s="82">
        <v>200</v>
      </c>
      <c r="AP19" s="143"/>
    </row>
    <row r="20" spans="1:56" ht="15" customHeight="1" x14ac:dyDescent="0.25">
      <c r="A20" s="977"/>
      <c r="B20" s="978"/>
      <c r="C20" s="978"/>
      <c r="D20" s="978"/>
      <c r="E20" s="978"/>
      <c r="F20" s="978"/>
      <c r="G20" s="978"/>
      <c r="H20" s="978"/>
      <c r="I20" s="977"/>
      <c r="K20" s="347"/>
      <c r="L20" s="696"/>
      <c r="M20" s="713" t="s">
        <v>315</v>
      </c>
      <c r="N20" s="714" t="s">
        <v>316</v>
      </c>
      <c r="O20" s="1029" t="s">
        <v>317</v>
      </c>
      <c r="P20" s="1029"/>
      <c r="Q20" s="696"/>
      <c r="R20" s="696"/>
      <c r="S20" s="696"/>
      <c r="T20" s="696"/>
      <c r="U20" s="696"/>
      <c r="V20" s="703"/>
      <c r="AH20" s="144"/>
      <c r="AI20" s="241" t="s">
        <v>21</v>
      </c>
      <c r="AJ20" s="136">
        <v>0</v>
      </c>
      <c r="AK20" s="140">
        <v>0</v>
      </c>
      <c r="AL20" s="82">
        <v>0</v>
      </c>
      <c r="AM20" s="136">
        <v>0</v>
      </c>
      <c r="AN20" s="140">
        <v>0</v>
      </c>
      <c r="AO20" s="82">
        <v>0</v>
      </c>
      <c r="AP20" s="143"/>
    </row>
    <row r="21" spans="1:56" ht="15" customHeight="1" x14ac:dyDescent="0.25">
      <c r="A21" s="977"/>
      <c r="B21" s="978"/>
      <c r="C21" s="978"/>
      <c r="D21" s="978"/>
      <c r="E21" s="978"/>
      <c r="F21" s="978"/>
      <c r="G21" s="978"/>
      <c r="H21" s="978"/>
      <c r="I21" s="977"/>
      <c r="K21" s="347"/>
      <c r="L21" s="696"/>
      <c r="M21" s="713" t="s">
        <v>318</v>
      </c>
      <c r="N21" s="714" t="s">
        <v>319</v>
      </c>
      <c r="O21" s="1029" t="s">
        <v>320</v>
      </c>
      <c r="P21" s="1029"/>
      <c r="Q21" s="696"/>
      <c r="R21" s="696"/>
      <c r="S21" s="696"/>
      <c r="T21" s="696"/>
      <c r="U21" s="696"/>
      <c r="V21" s="703"/>
      <c r="AH21" s="144"/>
      <c r="AI21" s="240" t="s">
        <v>132</v>
      </c>
      <c r="AJ21" s="136">
        <v>68</v>
      </c>
      <c r="AK21" s="140">
        <v>68</v>
      </c>
      <c r="AL21" s="82">
        <v>68</v>
      </c>
      <c r="AM21" s="136">
        <v>68</v>
      </c>
      <c r="AN21" s="140">
        <v>68</v>
      </c>
      <c r="AO21" s="82">
        <v>68</v>
      </c>
      <c r="AP21" s="143"/>
    </row>
    <row r="22" spans="1:56" ht="15" customHeight="1" thickBot="1" x14ac:dyDescent="0.3">
      <c r="A22" s="977"/>
      <c r="B22" s="978"/>
      <c r="C22" s="978"/>
      <c r="D22" s="978"/>
      <c r="E22" s="978"/>
      <c r="F22" s="978"/>
      <c r="G22" s="978"/>
      <c r="H22" s="978"/>
      <c r="I22" s="977"/>
      <c r="K22" s="347"/>
      <c r="L22" s="696"/>
      <c r="M22" s="713" t="s">
        <v>321</v>
      </c>
      <c r="N22" s="714" t="s">
        <v>322</v>
      </c>
      <c r="O22" s="1029" t="s">
        <v>320</v>
      </c>
      <c r="P22" s="1029"/>
      <c r="Q22" s="696"/>
      <c r="R22" s="696"/>
      <c r="S22" s="696"/>
      <c r="T22" s="696"/>
      <c r="U22" s="696"/>
      <c r="V22" s="703"/>
      <c r="AH22" s="144"/>
      <c r="AI22" s="240" t="s">
        <v>127</v>
      </c>
      <c r="AJ22" s="137">
        <v>180</v>
      </c>
      <c r="AK22" s="141">
        <v>237</v>
      </c>
      <c r="AL22" s="83">
        <v>345</v>
      </c>
      <c r="AM22" s="137">
        <v>127</v>
      </c>
      <c r="AN22" s="141">
        <v>127</v>
      </c>
      <c r="AO22" s="83">
        <v>250</v>
      </c>
      <c r="AP22" s="143"/>
    </row>
    <row r="23" spans="1:56" ht="15" customHeight="1" thickBot="1" x14ac:dyDescent="0.3">
      <c r="A23" s="977"/>
      <c r="B23" s="977"/>
      <c r="C23" s="977"/>
      <c r="D23" s="977"/>
      <c r="E23" s="977"/>
      <c r="F23" s="977"/>
      <c r="G23" s="977"/>
      <c r="H23" s="977"/>
      <c r="I23" s="977"/>
      <c r="K23" s="347"/>
      <c r="L23" s="696"/>
      <c r="M23" s="713" t="s">
        <v>323</v>
      </c>
      <c r="N23" s="714" t="s">
        <v>324</v>
      </c>
      <c r="O23" s="1029" t="s">
        <v>320</v>
      </c>
      <c r="P23" s="1029"/>
      <c r="Q23" s="696"/>
      <c r="R23" s="696"/>
      <c r="S23" s="696"/>
      <c r="T23" s="696"/>
      <c r="U23" s="696"/>
      <c r="V23" s="703"/>
      <c r="AH23" s="145"/>
      <c r="AI23" s="146"/>
      <c r="AJ23" s="146"/>
      <c r="AK23" s="146"/>
      <c r="AL23" s="146"/>
      <c r="AM23" s="146"/>
      <c r="AN23" s="146"/>
      <c r="AO23" s="146"/>
      <c r="AP23" s="147"/>
    </row>
    <row r="24" spans="1:56" ht="15.75" thickBot="1" x14ac:dyDescent="0.3">
      <c r="K24" s="347"/>
      <c r="L24" s="696"/>
      <c r="M24" s="713" t="s">
        <v>325</v>
      </c>
      <c r="N24" s="714" t="s">
        <v>326</v>
      </c>
      <c r="O24" s="1029">
        <v>0.02</v>
      </c>
      <c r="P24" s="1029"/>
      <c r="Q24" s="696"/>
      <c r="R24" s="696"/>
      <c r="S24" s="696"/>
      <c r="T24" s="696"/>
      <c r="U24" s="696"/>
      <c r="V24" s="703"/>
    </row>
    <row r="25" spans="1:56" ht="16.5" thickBot="1" x14ac:dyDescent="0.3">
      <c r="A25" s="148"/>
      <c r="B25" s="149"/>
      <c r="C25" s="149"/>
      <c r="D25" s="149"/>
      <c r="E25" s="149"/>
      <c r="F25" s="149"/>
      <c r="G25" s="149"/>
      <c r="H25" s="149"/>
      <c r="I25" s="142"/>
      <c r="J25" s="427"/>
      <c r="K25" s="347"/>
      <c r="L25" s="696"/>
      <c r="M25" s="713" t="s">
        <v>327</v>
      </c>
      <c r="N25" s="699" t="s">
        <v>328</v>
      </c>
      <c r="O25" s="1029" t="s">
        <v>329</v>
      </c>
      <c r="P25" s="1029"/>
      <c r="Q25" s="696"/>
      <c r="R25" s="696"/>
      <c r="S25" s="696"/>
      <c r="T25" s="696"/>
      <c r="U25" s="696"/>
      <c r="V25" s="703"/>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row>
    <row r="26" spans="1:56" ht="15.75" customHeight="1" x14ac:dyDescent="0.25">
      <c r="A26" s="144"/>
      <c r="B26" s="979" t="s">
        <v>561</v>
      </c>
      <c r="C26" s="980"/>
      <c r="D26" s="980"/>
      <c r="E26" s="980"/>
      <c r="F26" s="980"/>
      <c r="G26" s="980"/>
      <c r="H26" s="981"/>
      <c r="I26" s="143"/>
      <c r="K26" s="347"/>
      <c r="L26" s="696"/>
      <c r="M26" s="696"/>
      <c r="N26" s="715"/>
      <c r="O26" s="696"/>
      <c r="P26" s="696"/>
      <c r="Q26" s="696"/>
      <c r="R26" s="696"/>
      <c r="S26" s="696"/>
      <c r="T26" s="696"/>
      <c r="U26" s="696"/>
      <c r="V26" s="703"/>
      <c r="AH26" s="138"/>
      <c r="AI26" s="979" t="s">
        <v>239</v>
      </c>
      <c r="AJ26" s="980"/>
      <c r="AK26" s="980"/>
      <c r="AL26" s="980"/>
      <c r="AM26" s="980"/>
      <c r="AN26" s="980"/>
      <c r="AO26" s="980"/>
      <c r="AP26" s="980"/>
      <c r="AQ26" s="980"/>
      <c r="AR26" s="980"/>
      <c r="AS26" s="980"/>
      <c r="AT26" s="980"/>
      <c r="AU26" s="980"/>
      <c r="AV26" s="980"/>
      <c r="AW26" s="980"/>
      <c r="AX26" s="980"/>
      <c r="AY26" s="980"/>
      <c r="AZ26" s="980"/>
      <c r="BA26" s="980"/>
      <c r="BB26" s="980"/>
      <c r="BC26" s="981"/>
      <c r="BD26" s="138"/>
    </row>
    <row r="27" spans="1:56" ht="15.75" customHeight="1" thickBot="1" x14ac:dyDescent="0.3">
      <c r="A27" s="144"/>
      <c r="B27" s="985"/>
      <c r="C27" s="986"/>
      <c r="D27" s="986"/>
      <c r="E27" s="986"/>
      <c r="F27" s="986"/>
      <c r="G27" s="986"/>
      <c r="H27" s="987"/>
      <c r="I27" s="143"/>
      <c r="K27" s="347"/>
      <c r="M27" s="704" t="s">
        <v>330</v>
      </c>
      <c r="N27" s="715"/>
      <c r="O27" s="696"/>
      <c r="P27" s="696"/>
      <c r="Q27" s="696"/>
      <c r="R27" s="696"/>
      <c r="S27" s="696"/>
      <c r="T27" s="696"/>
      <c r="U27" s="696"/>
      <c r="V27" s="703"/>
      <c r="AH27" s="138"/>
      <c r="AI27" s="982"/>
      <c r="AJ27" s="983"/>
      <c r="AK27" s="983"/>
      <c r="AL27" s="983"/>
      <c r="AM27" s="983"/>
      <c r="AN27" s="983"/>
      <c r="AO27" s="983"/>
      <c r="AP27" s="983"/>
      <c r="AQ27" s="983"/>
      <c r="AR27" s="983"/>
      <c r="AS27" s="983"/>
      <c r="AT27" s="983"/>
      <c r="AU27" s="983"/>
      <c r="AV27" s="983"/>
      <c r="AW27" s="983"/>
      <c r="AX27" s="983"/>
      <c r="AY27" s="983"/>
      <c r="AZ27" s="983"/>
      <c r="BA27" s="983"/>
      <c r="BB27" s="983"/>
      <c r="BC27" s="984"/>
      <c r="BD27" s="138"/>
    </row>
    <row r="28" spans="1:56" ht="15" customHeight="1" thickBot="1" x14ac:dyDescent="0.3">
      <c r="A28" s="144"/>
      <c r="B28" s="138"/>
      <c r="C28" s="138"/>
      <c r="D28" s="138"/>
      <c r="E28" s="138"/>
      <c r="F28" s="138"/>
      <c r="G28" s="138"/>
      <c r="H28" s="138"/>
      <c r="I28" s="143"/>
      <c r="K28" s="347"/>
      <c r="L28" s="696"/>
      <c r="M28" s="716" t="s">
        <v>120</v>
      </c>
      <c r="N28" s="717" t="s">
        <v>331</v>
      </c>
      <c r="O28" s="717"/>
      <c r="P28" s="717"/>
      <c r="Q28" s="717"/>
      <c r="R28" s="717"/>
      <c r="S28" s="717"/>
      <c r="T28" s="717"/>
      <c r="U28" s="717"/>
      <c r="V28" s="718"/>
      <c r="AH28" s="138"/>
      <c r="AI28" s="985"/>
      <c r="AJ28" s="986"/>
      <c r="AK28" s="986"/>
      <c r="AL28" s="986"/>
      <c r="AM28" s="986"/>
      <c r="AN28" s="986"/>
      <c r="AO28" s="986"/>
      <c r="AP28" s="986"/>
      <c r="AQ28" s="986"/>
      <c r="AR28" s="986"/>
      <c r="AS28" s="986"/>
      <c r="AT28" s="986"/>
      <c r="AU28" s="986"/>
      <c r="AV28" s="986"/>
      <c r="AW28" s="986"/>
      <c r="AX28" s="986"/>
      <c r="AY28" s="986"/>
      <c r="AZ28" s="986"/>
      <c r="BA28" s="986"/>
      <c r="BB28" s="986"/>
      <c r="BC28" s="987"/>
      <c r="BD28" s="138"/>
    </row>
    <row r="29" spans="1:56" ht="15.75" customHeight="1" thickBot="1" x14ac:dyDescent="0.3">
      <c r="A29" s="144"/>
      <c r="B29" s="1005" t="s">
        <v>306</v>
      </c>
      <c r="C29" s="1007" t="s">
        <v>4</v>
      </c>
      <c r="D29" s="1008"/>
      <c r="E29" s="1008"/>
      <c r="F29" s="1008"/>
      <c r="G29" s="1008"/>
      <c r="H29" s="1009"/>
      <c r="I29" s="143"/>
      <c r="K29" s="347"/>
      <c r="L29" s="696"/>
      <c r="M29" s="716" t="s">
        <v>348</v>
      </c>
      <c r="N29" s="1003" t="s">
        <v>371</v>
      </c>
      <c r="O29" s="1003"/>
      <c r="P29" s="1003"/>
      <c r="Q29" s="1003"/>
      <c r="R29" s="1003"/>
      <c r="S29" s="1003"/>
      <c r="T29" s="1003"/>
      <c r="U29" s="1003"/>
      <c r="V29" s="1004"/>
      <c r="AH29" s="138"/>
      <c r="AI29" s="138"/>
      <c r="AJ29" s="192"/>
      <c r="AK29" s="192"/>
      <c r="AL29" s="192"/>
      <c r="AM29" s="193"/>
      <c r="AN29" s="193"/>
      <c r="AO29" s="193"/>
      <c r="AP29" s="193"/>
      <c r="AQ29" s="193"/>
      <c r="AR29" s="193"/>
      <c r="AS29" s="193"/>
      <c r="AT29" s="138"/>
      <c r="AU29" s="192"/>
      <c r="AV29" s="192"/>
      <c r="AW29" s="192"/>
      <c r="AX29" s="193"/>
      <c r="AY29" s="193"/>
      <c r="AZ29" s="193"/>
      <c r="BA29" s="193"/>
      <c r="BB29" s="193"/>
      <c r="BC29" s="193"/>
      <c r="BD29" s="138"/>
    </row>
    <row r="30" spans="1:56" ht="15.75" customHeight="1" thickBot="1" x14ac:dyDescent="0.3">
      <c r="A30" s="144"/>
      <c r="B30" s="1006"/>
      <c r="C30" s="994" t="s">
        <v>92</v>
      </c>
      <c r="D30" s="995"/>
      <c r="E30" s="995"/>
      <c r="F30" s="996"/>
      <c r="G30" s="386" t="s">
        <v>107</v>
      </c>
      <c r="H30" s="1010"/>
      <c r="I30" s="143"/>
      <c r="K30" s="347"/>
      <c r="L30" s="696"/>
      <c r="M30" s="716" t="s">
        <v>125</v>
      </c>
      <c r="N30" s="717" t="s">
        <v>332</v>
      </c>
      <c r="O30" s="717"/>
      <c r="P30" s="717"/>
      <c r="Q30" s="717"/>
      <c r="R30" s="717"/>
      <c r="S30" s="717"/>
      <c r="T30" s="717"/>
      <c r="U30" s="717"/>
      <c r="V30" s="718"/>
      <c r="AH30" s="138"/>
      <c r="AI30" s="156" t="s">
        <v>372</v>
      </c>
      <c r="AJ30" s="155"/>
      <c r="AK30" s="155"/>
      <c r="AL30" s="155"/>
      <c r="AM30" s="150"/>
      <c r="AN30" s="194"/>
      <c r="AO30" s="194"/>
      <c r="AP30" s="194"/>
      <c r="AQ30" s="194"/>
      <c r="AR30" s="194"/>
      <c r="AS30" s="194"/>
      <c r="AT30" s="156" t="s">
        <v>135</v>
      </c>
      <c r="AU30" s="155"/>
      <c r="AV30" s="155"/>
      <c r="AW30" s="155"/>
      <c r="AX30" s="194"/>
      <c r="AY30" s="194"/>
      <c r="AZ30" s="194"/>
      <c r="BA30" s="194"/>
      <c r="BB30" s="194"/>
      <c r="BC30" s="194"/>
      <c r="BD30" s="138"/>
    </row>
    <row r="31" spans="1:56" ht="15" customHeight="1" thickBot="1" x14ac:dyDescent="0.3">
      <c r="A31" s="144"/>
      <c r="B31" s="297"/>
      <c r="C31" s="254" t="s">
        <v>257</v>
      </c>
      <c r="D31" s="255" t="s">
        <v>258</v>
      </c>
      <c r="E31" s="256" t="s">
        <v>259</v>
      </c>
      <c r="F31" s="257" t="s">
        <v>260</v>
      </c>
      <c r="G31" s="310" t="s">
        <v>107</v>
      </c>
      <c r="H31" s="1010"/>
      <c r="I31" s="143"/>
      <c r="K31" s="347"/>
      <c r="L31" s="696"/>
      <c r="M31" s="716" t="s">
        <v>349</v>
      </c>
      <c r="N31" s="717" t="s">
        <v>333</v>
      </c>
      <c r="O31" s="717"/>
      <c r="P31" s="717"/>
      <c r="Q31" s="717"/>
      <c r="R31" s="717"/>
      <c r="S31" s="717"/>
      <c r="T31" s="717"/>
      <c r="U31" s="717"/>
      <c r="V31" s="718"/>
      <c r="AH31" s="138"/>
      <c r="AI31" s="195"/>
      <c r="AJ31" s="195"/>
      <c r="AK31" s="195"/>
      <c r="AL31" s="195"/>
      <c r="AM31" s="194"/>
      <c r="AN31" s="194"/>
      <c r="AO31" s="194"/>
      <c r="AP31" s="194"/>
      <c r="AQ31" s="194"/>
      <c r="AR31" s="194"/>
      <c r="AS31" s="194"/>
      <c r="AT31" s="194"/>
      <c r="AU31" s="194"/>
      <c r="AV31" s="194"/>
      <c r="AW31" s="194"/>
      <c r="AX31" s="194"/>
      <c r="AY31" s="194"/>
      <c r="AZ31" s="194"/>
      <c r="BA31" s="194"/>
      <c r="BB31" s="194"/>
      <c r="BC31" s="194"/>
      <c r="BD31" s="138"/>
    </row>
    <row r="32" spans="1:56" ht="16.5" customHeight="1" thickBot="1" x14ac:dyDescent="0.3">
      <c r="A32" s="144"/>
      <c r="B32" s="262" t="s">
        <v>240</v>
      </c>
      <c r="C32" s="258">
        <f>61*1.045</f>
        <v>63.744999999999997</v>
      </c>
      <c r="D32" s="253">
        <f>104*1.045</f>
        <v>108.67999999999999</v>
      </c>
      <c r="E32" s="140">
        <f>147*1.045</f>
        <v>153.61499999999998</v>
      </c>
      <c r="F32" s="82">
        <f>199*1.045</f>
        <v>207.95499999999998</v>
      </c>
      <c r="G32" s="311">
        <f>303*1.045</f>
        <v>316.63499999999999</v>
      </c>
      <c r="H32" s="1010"/>
      <c r="I32" s="143"/>
      <c r="K32" s="347"/>
      <c r="L32" s="696"/>
      <c r="M32" s="716" t="s">
        <v>122</v>
      </c>
      <c r="N32" s="719" t="s">
        <v>334</v>
      </c>
      <c r="O32" s="699"/>
      <c r="P32" s="699"/>
      <c r="Q32" s="699"/>
      <c r="R32" s="699"/>
      <c r="S32" s="699"/>
      <c r="T32" s="699"/>
      <c r="U32" s="699"/>
      <c r="V32" s="709"/>
      <c r="AH32" s="138"/>
      <c r="AI32" s="161" t="s">
        <v>136</v>
      </c>
      <c r="AJ32" s="160" t="s">
        <v>137</v>
      </c>
      <c r="AK32" s="160" t="s">
        <v>65</v>
      </c>
      <c r="AL32" s="160" t="s">
        <v>69</v>
      </c>
      <c r="AM32" s="157"/>
      <c r="AN32" s="158" t="s">
        <v>138</v>
      </c>
      <c r="AO32" s="159"/>
      <c r="AP32" s="157"/>
      <c r="AQ32" s="158" t="s">
        <v>139</v>
      </c>
      <c r="AR32" s="159"/>
      <c r="AS32" s="194"/>
      <c r="AT32" s="161" t="s">
        <v>136</v>
      </c>
      <c r="AU32" s="160" t="s">
        <v>137</v>
      </c>
      <c r="AV32" s="160" t="s">
        <v>65</v>
      </c>
      <c r="AW32" s="160" t="s">
        <v>69</v>
      </c>
      <c r="AX32" s="157"/>
      <c r="AY32" s="158" t="s">
        <v>138</v>
      </c>
      <c r="AZ32" s="159"/>
      <c r="BA32" s="157"/>
      <c r="BB32" s="158" t="s">
        <v>139</v>
      </c>
      <c r="BC32" s="159"/>
      <c r="BD32" s="138"/>
    </row>
    <row r="33" spans="1:56" ht="16.350000000000001" customHeight="1" thickBot="1" x14ac:dyDescent="0.3">
      <c r="A33" s="144"/>
      <c r="B33" s="263" t="s">
        <v>299</v>
      </c>
      <c r="C33" s="258">
        <f>72*1.045</f>
        <v>75.239999999999995</v>
      </c>
      <c r="D33" s="253">
        <f>124*1.045</f>
        <v>129.57999999999998</v>
      </c>
      <c r="E33" s="140">
        <f>175*1.045</f>
        <v>182.875</v>
      </c>
      <c r="F33" s="82">
        <f>237*1.045</f>
        <v>247.66499999999999</v>
      </c>
      <c r="G33" s="311">
        <f>336*1.045</f>
        <v>351.12</v>
      </c>
      <c r="H33" s="1010"/>
      <c r="I33" s="143"/>
      <c r="K33" s="347"/>
      <c r="L33" s="694"/>
      <c r="M33" s="716" t="s">
        <v>350</v>
      </c>
      <c r="N33" s="717" t="s">
        <v>335</v>
      </c>
      <c r="O33" s="717"/>
      <c r="P33" s="717"/>
      <c r="Q33" s="717"/>
      <c r="R33" s="717"/>
      <c r="S33" s="717"/>
      <c r="T33" s="717"/>
      <c r="U33" s="717"/>
      <c r="V33" s="718"/>
      <c r="AH33" s="138"/>
      <c r="AI33" s="194"/>
      <c r="AJ33" s="194"/>
      <c r="AK33" s="194"/>
      <c r="AL33" s="194"/>
      <c r="AM33" s="194"/>
      <c r="AN33" s="196"/>
      <c r="AO33" s="196"/>
      <c r="AP33" s="196"/>
      <c r="AQ33" s="196"/>
      <c r="AR33" s="196"/>
      <c r="AS33" s="194"/>
      <c r="AT33" s="194"/>
      <c r="AU33" s="194"/>
      <c r="AV33" s="194"/>
      <c r="AW33" s="194"/>
      <c r="AX33" s="194"/>
      <c r="AY33" s="194"/>
      <c r="AZ33" s="194"/>
      <c r="BA33" s="194"/>
      <c r="BB33" s="194"/>
      <c r="BC33" s="194"/>
      <c r="BD33" s="138"/>
    </row>
    <row r="34" spans="1:56" ht="16.350000000000001" customHeight="1" thickBot="1" x14ac:dyDescent="0.3">
      <c r="A34" s="144"/>
      <c r="B34" s="263" t="s">
        <v>300</v>
      </c>
      <c r="C34" s="258">
        <f>82*1.045</f>
        <v>85.69</v>
      </c>
      <c r="D34" s="253">
        <f>141*1.045</f>
        <v>147.345</v>
      </c>
      <c r="E34" s="140">
        <f>200*1.045</f>
        <v>209</v>
      </c>
      <c r="F34" s="82">
        <f>270*1.045</f>
        <v>282.14999999999998</v>
      </c>
      <c r="G34" s="311">
        <f>365*1.045</f>
        <v>381.42499999999995</v>
      </c>
      <c r="H34" s="1010"/>
      <c r="I34" s="143"/>
      <c r="K34" s="347"/>
      <c r="L34" s="694"/>
      <c r="M34" s="716" t="s">
        <v>16</v>
      </c>
      <c r="N34" s="717" t="s">
        <v>336</v>
      </c>
      <c r="O34" s="717"/>
      <c r="P34" s="717"/>
      <c r="Q34" s="717"/>
      <c r="R34" s="717"/>
      <c r="S34" s="717"/>
      <c r="T34" s="717"/>
      <c r="U34" s="717"/>
      <c r="V34" s="718"/>
      <c r="AH34" s="138"/>
      <c r="AI34" s="157" t="s">
        <v>120</v>
      </c>
      <c r="AJ34" s="162"/>
      <c r="AK34" s="162"/>
      <c r="AL34" s="162"/>
      <c r="AM34" s="157" t="s">
        <v>229</v>
      </c>
      <c r="AN34" s="202">
        <v>316.99255570391057</v>
      </c>
      <c r="AO34" s="164"/>
      <c r="AP34" s="164"/>
      <c r="AQ34" s="163">
        <v>418</v>
      </c>
      <c r="AR34" s="165"/>
      <c r="AS34" s="197"/>
      <c r="AT34" s="157" t="s">
        <v>120</v>
      </c>
      <c r="AU34" s="162"/>
      <c r="AV34" s="162"/>
      <c r="AW34" s="162"/>
      <c r="AX34" s="157" t="s">
        <v>229</v>
      </c>
      <c r="AY34" s="211">
        <v>153.75135207229772</v>
      </c>
      <c r="AZ34" s="162"/>
      <c r="BA34" s="162"/>
      <c r="BB34" s="182">
        <v>253.85714285714286</v>
      </c>
      <c r="BC34" s="184"/>
      <c r="BD34" s="138"/>
    </row>
    <row r="35" spans="1:56" ht="15.6" customHeight="1" x14ac:dyDescent="0.25">
      <c r="A35" s="144"/>
      <c r="B35" s="263" t="s">
        <v>301</v>
      </c>
      <c r="C35" s="258">
        <f>107*1.045</f>
        <v>111.815</v>
      </c>
      <c r="D35" s="253">
        <f>184*1.045</f>
        <v>192.27999999999997</v>
      </c>
      <c r="E35" s="140">
        <f>261*1.045</f>
        <v>272.745</v>
      </c>
      <c r="F35" s="82">
        <f>353*1.045</f>
        <v>368.88499999999999</v>
      </c>
      <c r="G35" s="311">
        <f>437*1.045</f>
        <v>456.66499999999996</v>
      </c>
      <c r="H35" s="1010"/>
      <c r="I35" s="143"/>
      <c r="K35" s="347"/>
      <c r="L35" s="694"/>
      <c r="M35" s="716" t="s">
        <v>351</v>
      </c>
      <c r="N35" s="717" t="s">
        <v>337</v>
      </c>
      <c r="O35" s="717"/>
      <c r="P35" s="717"/>
      <c r="Q35" s="717"/>
      <c r="R35" s="717"/>
      <c r="S35" s="717"/>
      <c r="T35" s="717"/>
      <c r="U35" s="717"/>
      <c r="V35" s="718"/>
      <c r="AH35" s="138"/>
      <c r="AI35" s="172" t="s">
        <v>140</v>
      </c>
      <c r="AJ35" s="150"/>
      <c r="AK35" s="150"/>
      <c r="AL35" s="150"/>
      <c r="AM35" s="150"/>
      <c r="AN35" s="173"/>
      <c r="AO35" s="174"/>
      <c r="AP35" s="174"/>
      <c r="AQ35" s="173"/>
      <c r="AR35" s="175"/>
      <c r="AS35" s="197"/>
      <c r="AT35" s="172" t="s">
        <v>140</v>
      </c>
      <c r="AU35" s="150"/>
      <c r="AV35" s="150"/>
      <c r="AW35" s="150"/>
      <c r="AX35" s="150"/>
      <c r="AY35" s="151"/>
      <c r="AZ35" s="150"/>
      <c r="BA35" s="150"/>
      <c r="BB35" s="151"/>
      <c r="BC35" s="212"/>
      <c r="BD35" s="138"/>
    </row>
    <row r="36" spans="1:56" ht="15.6" customHeight="1" x14ac:dyDescent="0.25">
      <c r="A36" s="144"/>
      <c r="B36" s="263" t="s">
        <v>122</v>
      </c>
      <c r="C36" s="258">
        <f>43*1.045</f>
        <v>44.934999999999995</v>
      </c>
      <c r="D36" s="253">
        <f>74*1.045</f>
        <v>77.33</v>
      </c>
      <c r="E36" s="140">
        <f>105*1.045</f>
        <v>109.72499999999999</v>
      </c>
      <c r="F36" s="82">
        <f>142*1.045</f>
        <v>148.38999999999999</v>
      </c>
      <c r="G36" s="311">
        <f>254*1.045</f>
        <v>265.43</v>
      </c>
      <c r="H36" s="1010"/>
      <c r="I36" s="143"/>
      <c r="K36" s="347"/>
      <c r="L36" s="694"/>
      <c r="M36" s="716" t="s">
        <v>0</v>
      </c>
      <c r="N36" s="700" t="s">
        <v>373</v>
      </c>
      <c r="O36" s="717"/>
      <c r="P36" s="717"/>
      <c r="Q36" s="717"/>
      <c r="R36" s="717"/>
      <c r="S36" s="717"/>
      <c r="T36" s="717"/>
      <c r="U36" s="717"/>
      <c r="V36" s="718"/>
      <c r="AH36" s="138"/>
      <c r="AI36" s="176" t="s">
        <v>141</v>
      </c>
      <c r="AJ36" s="166">
        <v>1997</v>
      </c>
      <c r="AK36" s="167">
        <v>57180350</v>
      </c>
      <c r="AL36" s="168">
        <v>172907</v>
      </c>
      <c r="AM36" s="988">
        <v>330.70002949562479</v>
      </c>
      <c r="AN36" s="988"/>
      <c r="AO36" s="988"/>
      <c r="AP36" s="989">
        <v>459</v>
      </c>
      <c r="AQ36" s="989"/>
      <c r="AR36" s="990"/>
      <c r="AS36" s="197"/>
      <c r="AT36" s="176" t="s">
        <v>142</v>
      </c>
      <c r="AU36" s="166">
        <v>2009</v>
      </c>
      <c r="AV36" s="167">
        <v>400400</v>
      </c>
      <c r="AW36" s="166">
        <v>3040</v>
      </c>
      <c r="AX36" s="989">
        <v>131.71052631578948</v>
      </c>
      <c r="AY36" s="989"/>
      <c r="AZ36" s="989"/>
      <c r="BA36" s="989">
        <v>232</v>
      </c>
      <c r="BB36" s="989"/>
      <c r="BC36" s="990"/>
      <c r="BD36" s="138"/>
    </row>
    <row r="37" spans="1:56" ht="15.6" customHeight="1" x14ac:dyDescent="0.25">
      <c r="A37" s="144"/>
      <c r="B37" s="263" t="s">
        <v>194</v>
      </c>
      <c r="C37" s="258">
        <f>114*1.045</f>
        <v>119.13</v>
      </c>
      <c r="D37" s="253">
        <f>196*1.045</f>
        <v>204.82</v>
      </c>
      <c r="E37" s="140">
        <f>278*1.045</f>
        <v>290.51</v>
      </c>
      <c r="F37" s="82">
        <f>376*1.045</f>
        <v>392.91999999999996</v>
      </c>
      <c r="G37" s="311">
        <f>457*1.045</f>
        <v>477.56499999999994</v>
      </c>
      <c r="H37" s="1010"/>
      <c r="I37" s="143"/>
      <c r="K37" s="347"/>
      <c r="L37" s="694"/>
      <c r="M37" s="716" t="s">
        <v>303</v>
      </c>
      <c r="N37" s="717" t="s">
        <v>338</v>
      </c>
      <c r="O37" s="717"/>
      <c r="P37" s="717"/>
      <c r="Q37" s="717"/>
      <c r="R37" s="717"/>
      <c r="S37" s="717"/>
      <c r="T37" s="717"/>
      <c r="U37" s="717"/>
      <c r="V37" s="718"/>
      <c r="AH37" s="138"/>
      <c r="AI37" s="177" t="s">
        <v>143</v>
      </c>
      <c r="AJ37" s="169">
        <v>1998</v>
      </c>
      <c r="AK37" s="170">
        <v>58389000</v>
      </c>
      <c r="AL37" s="171">
        <v>159313</v>
      </c>
      <c r="AM37" s="989">
        <v>366.50493054552987</v>
      </c>
      <c r="AN37" s="989"/>
      <c r="AO37" s="989"/>
      <c r="AP37" s="989">
        <v>470</v>
      </c>
      <c r="AQ37" s="989"/>
      <c r="AR37" s="990"/>
      <c r="AS37" s="197"/>
      <c r="AT37" s="176" t="s">
        <v>144</v>
      </c>
      <c r="AU37" s="166">
        <v>2012</v>
      </c>
      <c r="AV37" s="167">
        <v>352000</v>
      </c>
      <c r="AW37" s="168">
        <v>2997</v>
      </c>
      <c r="AX37" s="989">
        <v>117.45078411745078</v>
      </c>
      <c r="AY37" s="989"/>
      <c r="AZ37" s="989"/>
      <c r="BA37" s="989">
        <v>214</v>
      </c>
      <c r="BB37" s="989"/>
      <c r="BC37" s="990"/>
      <c r="BD37" s="138"/>
    </row>
    <row r="38" spans="1:56" ht="15.6" customHeight="1" x14ac:dyDescent="0.25">
      <c r="A38" s="144"/>
      <c r="B38" s="263" t="s">
        <v>16</v>
      </c>
      <c r="C38" s="258">
        <f>54*1.045</f>
        <v>56.429999999999993</v>
      </c>
      <c r="D38" s="253">
        <f>93*1.045</f>
        <v>97.184999999999988</v>
      </c>
      <c r="E38" s="140">
        <f>132*1.045</f>
        <v>137.94</v>
      </c>
      <c r="F38" s="82">
        <f>178*1.045</f>
        <v>186.01</v>
      </c>
      <c r="G38" s="311">
        <f>285*1.045</f>
        <v>297.82499999999999</v>
      </c>
      <c r="H38" s="1010"/>
      <c r="I38" s="143"/>
      <c r="K38" s="347"/>
      <c r="L38" s="694"/>
      <c r="M38" s="716" t="s">
        <v>227</v>
      </c>
      <c r="N38" s="717" t="s">
        <v>339</v>
      </c>
      <c r="O38" s="717"/>
      <c r="P38" s="717"/>
      <c r="Q38" s="717"/>
      <c r="R38" s="717"/>
      <c r="S38" s="717"/>
      <c r="T38" s="717"/>
      <c r="U38" s="717"/>
      <c r="V38" s="718"/>
      <c r="AH38" s="138"/>
      <c r="AI38" s="176" t="s">
        <v>145</v>
      </c>
      <c r="AJ38" s="166">
        <v>2002</v>
      </c>
      <c r="AK38" s="167">
        <v>39397959</v>
      </c>
      <c r="AL38" s="168">
        <v>155249</v>
      </c>
      <c r="AM38" s="989">
        <v>253.77270707057696</v>
      </c>
      <c r="AN38" s="989"/>
      <c r="AO38" s="989"/>
      <c r="AP38" s="989">
        <v>325</v>
      </c>
      <c r="AQ38" s="989"/>
      <c r="AR38" s="990"/>
      <c r="AS38" s="197"/>
      <c r="AT38" s="176" t="s">
        <v>146</v>
      </c>
      <c r="AU38" s="166">
        <v>2009</v>
      </c>
      <c r="AV38" s="167">
        <v>285000</v>
      </c>
      <c r="AW38" s="168">
        <v>2492</v>
      </c>
      <c r="AX38" s="989">
        <v>114.36597110754414</v>
      </c>
      <c r="AY38" s="989"/>
      <c r="AZ38" s="989"/>
      <c r="BA38" s="989">
        <v>170</v>
      </c>
      <c r="BB38" s="989"/>
      <c r="BC38" s="990"/>
      <c r="BD38" s="138"/>
    </row>
    <row r="39" spans="1:56" ht="15.75" x14ac:dyDescent="0.25">
      <c r="A39" s="144"/>
      <c r="B39" s="263" t="s">
        <v>302</v>
      </c>
      <c r="C39" s="258">
        <f>43*1.045</f>
        <v>44.934999999999995</v>
      </c>
      <c r="D39" s="253">
        <f>73*1.045</f>
        <v>76.284999999999997</v>
      </c>
      <c r="E39" s="140">
        <f>104*1.045</f>
        <v>108.67999999999999</v>
      </c>
      <c r="F39" s="82">
        <f>140*1.045</f>
        <v>146.29999999999998</v>
      </c>
      <c r="G39" s="311">
        <f>252*1.045</f>
        <v>263.33999999999997</v>
      </c>
      <c r="H39" s="1010"/>
      <c r="I39" s="143"/>
      <c r="K39" s="347"/>
      <c r="L39" s="694"/>
      <c r="M39" s="716" t="s">
        <v>131</v>
      </c>
      <c r="N39" s="719" t="s">
        <v>340</v>
      </c>
      <c r="O39" s="699"/>
      <c r="P39" s="699"/>
      <c r="Q39" s="699"/>
      <c r="R39" s="699"/>
      <c r="S39" s="699"/>
      <c r="T39" s="699"/>
      <c r="U39" s="699"/>
      <c r="V39" s="709"/>
      <c r="AH39" s="138"/>
      <c r="AI39" s="176" t="s">
        <v>147</v>
      </c>
      <c r="AJ39" s="166">
        <v>2012</v>
      </c>
      <c r="AK39" s="167">
        <v>7387200</v>
      </c>
      <c r="AL39" s="168">
        <v>43200</v>
      </c>
      <c r="AM39" s="989">
        <v>171</v>
      </c>
      <c r="AN39" s="989"/>
      <c r="AO39" s="989"/>
      <c r="AP39" s="989">
        <v>222.3</v>
      </c>
      <c r="AQ39" s="989"/>
      <c r="AR39" s="990"/>
      <c r="AS39" s="197"/>
      <c r="AT39" s="176" t="s">
        <v>148</v>
      </c>
      <c r="AU39" s="166">
        <v>2011</v>
      </c>
      <c r="AV39" s="167">
        <v>3243150</v>
      </c>
      <c r="AW39" s="168">
        <v>25000</v>
      </c>
      <c r="AX39" s="989">
        <v>129.726</v>
      </c>
      <c r="AY39" s="989"/>
      <c r="AZ39" s="989"/>
      <c r="BA39" s="989">
        <v>243</v>
      </c>
      <c r="BB39" s="989"/>
      <c r="BC39" s="990"/>
      <c r="BD39" s="138"/>
    </row>
    <row r="40" spans="1:56" ht="15.75" x14ac:dyDescent="0.25">
      <c r="A40" s="144"/>
      <c r="B40" s="263" t="s">
        <v>0</v>
      </c>
      <c r="C40" s="258">
        <f>86*1.045</f>
        <v>89.86999999999999</v>
      </c>
      <c r="D40" s="253">
        <f>148*1.045</f>
        <v>154.66</v>
      </c>
      <c r="E40" s="140">
        <f>210*1.045</f>
        <v>219.45</v>
      </c>
      <c r="F40" s="82">
        <f>284*1.045</f>
        <v>296.77999999999997</v>
      </c>
      <c r="G40" s="311">
        <f>377*1.045</f>
        <v>393.96499999999997</v>
      </c>
      <c r="H40" s="1010"/>
      <c r="I40" s="143"/>
      <c r="K40" s="347"/>
      <c r="L40" s="694"/>
      <c r="M40" s="716" t="s">
        <v>341</v>
      </c>
      <c r="N40" s="719" t="s">
        <v>342</v>
      </c>
      <c r="O40" s="699"/>
      <c r="P40" s="699"/>
      <c r="Q40" s="699"/>
      <c r="R40" s="699"/>
      <c r="S40" s="699"/>
      <c r="T40" s="699"/>
      <c r="U40" s="699"/>
      <c r="V40" s="709"/>
      <c r="AH40" s="138"/>
      <c r="AI40" s="176" t="s">
        <v>149</v>
      </c>
      <c r="AJ40" s="166">
        <v>2012</v>
      </c>
      <c r="AK40" s="167">
        <v>7572042</v>
      </c>
      <c r="AL40" s="168">
        <v>46741</v>
      </c>
      <c r="AM40" s="989">
        <v>162</v>
      </c>
      <c r="AN40" s="989"/>
      <c r="AO40" s="989"/>
      <c r="AP40" s="989">
        <v>210.6</v>
      </c>
      <c r="AQ40" s="989"/>
      <c r="AR40" s="990"/>
      <c r="AS40" s="197"/>
      <c r="AT40" s="176" t="s">
        <v>150</v>
      </c>
      <c r="AU40" s="166">
        <v>2012</v>
      </c>
      <c r="AV40" s="167">
        <v>1513724</v>
      </c>
      <c r="AW40" s="168">
        <v>7925</v>
      </c>
      <c r="AX40" s="989">
        <v>191.00618296529967</v>
      </c>
      <c r="AY40" s="989"/>
      <c r="AZ40" s="989"/>
      <c r="BA40" s="989">
        <v>301</v>
      </c>
      <c r="BB40" s="989"/>
      <c r="BC40" s="990"/>
      <c r="BD40" s="138"/>
    </row>
    <row r="41" spans="1:56" ht="16.5" thickBot="1" x14ac:dyDescent="0.3">
      <c r="A41" s="144"/>
      <c r="B41" s="263" t="s">
        <v>303</v>
      </c>
      <c r="C41" s="258">
        <f>35*1.045</f>
        <v>36.574999999999996</v>
      </c>
      <c r="D41" s="253">
        <f>60*1.045</f>
        <v>62.699999999999996</v>
      </c>
      <c r="E41" s="140">
        <f>85*1.045</f>
        <v>88.824999999999989</v>
      </c>
      <c r="F41" s="82">
        <f>115*1.045</f>
        <v>120.175</v>
      </c>
      <c r="G41" s="311">
        <f>230*1.045</f>
        <v>240.35</v>
      </c>
      <c r="H41" s="1010"/>
      <c r="I41" s="143"/>
      <c r="K41" s="348"/>
      <c r="L41" s="349"/>
      <c r="M41" s="339" t="s">
        <v>343</v>
      </c>
      <c r="N41" s="341" t="s">
        <v>344</v>
      </c>
      <c r="O41" s="342"/>
      <c r="P41" s="342"/>
      <c r="Q41" s="342"/>
      <c r="R41" s="342"/>
      <c r="S41" s="342"/>
      <c r="T41" s="342"/>
      <c r="U41" s="342"/>
      <c r="V41" s="720"/>
      <c r="AH41" s="138"/>
      <c r="AI41" s="178" t="s">
        <v>151</v>
      </c>
      <c r="AJ41" s="179">
        <v>2012</v>
      </c>
      <c r="AK41" s="180">
        <v>12551040</v>
      </c>
      <c r="AL41" s="181">
        <v>69728</v>
      </c>
      <c r="AM41" s="1012">
        <v>180</v>
      </c>
      <c r="AN41" s="1012"/>
      <c r="AO41" s="1012"/>
      <c r="AP41" s="1012">
        <v>234</v>
      </c>
      <c r="AQ41" s="1012"/>
      <c r="AR41" s="1013"/>
      <c r="AS41" s="197"/>
      <c r="AT41" s="176" t="s">
        <v>152</v>
      </c>
      <c r="AU41" s="166">
        <v>2013</v>
      </c>
      <c r="AV41" s="167"/>
      <c r="AW41" s="168">
        <v>19050</v>
      </c>
      <c r="AX41" s="989">
        <v>201</v>
      </c>
      <c r="AY41" s="989"/>
      <c r="AZ41" s="989"/>
      <c r="BA41" s="989">
        <v>261</v>
      </c>
      <c r="BB41" s="989"/>
      <c r="BC41" s="990"/>
      <c r="BD41" s="138"/>
    </row>
    <row r="42" spans="1:56" ht="16.5" thickBot="1" x14ac:dyDescent="0.3">
      <c r="A42" s="144"/>
      <c r="B42" s="263" t="s">
        <v>227</v>
      </c>
      <c r="C42" s="258">
        <f>35*1.045</f>
        <v>36.574999999999996</v>
      </c>
      <c r="D42" s="253">
        <f>60*1.045</f>
        <v>62.699999999999996</v>
      </c>
      <c r="E42" s="140">
        <f>85*1.045</f>
        <v>88.824999999999989</v>
      </c>
      <c r="F42" s="82">
        <f>115*1.045</f>
        <v>120.175</v>
      </c>
      <c r="G42" s="311">
        <f>230*1.045</f>
        <v>240.35</v>
      </c>
      <c r="H42" s="1010"/>
      <c r="I42" s="143"/>
      <c r="AH42" s="138"/>
      <c r="AI42" s="194"/>
      <c r="AJ42" s="194"/>
      <c r="AK42" s="198"/>
      <c r="AL42" s="199"/>
      <c r="AM42" s="194"/>
      <c r="AN42" s="200"/>
      <c r="AO42" s="201"/>
      <c r="AP42" s="201"/>
      <c r="AQ42" s="200"/>
      <c r="AR42" s="201"/>
      <c r="AS42" s="197"/>
      <c r="AT42" s="178" t="s">
        <v>153</v>
      </c>
      <c r="AU42" s="179">
        <v>2013</v>
      </c>
      <c r="AV42" s="180"/>
      <c r="AW42" s="181">
        <v>50000</v>
      </c>
      <c r="AX42" s="1012">
        <v>191</v>
      </c>
      <c r="AY42" s="1012"/>
      <c r="AZ42" s="1012"/>
      <c r="BA42" s="1012">
        <v>356</v>
      </c>
      <c r="BB42" s="1012"/>
      <c r="BC42" s="1013"/>
      <c r="BD42" s="138"/>
    </row>
    <row r="43" spans="1:56" ht="15.75" x14ac:dyDescent="0.25">
      <c r="A43" s="144"/>
      <c r="B43" s="263" t="s">
        <v>388</v>
      </c>
      <c r="C43" s="258">
        <f>67*1.045</f>
        <v>70.015000000000001</v>
      </c>
      <c r="D43" s="253">
        <f>114*1.045</f>
        <v>119.13</v>
      </c>
      <c r="E43" s="140">
        <f>162*1.045</f>
        <v>169.29</v>
      </c>
      <c r="F43" s="82">
        <f>219*1.045</f>
        <v>228.85499999999999</v>
      </c>
      <c r="G43" s="311">
        <f>320*1.045</f>
        <v>334.4</v>
      </c>
      <c r="H43" s="1010"/>
      <c r="I43" s="143"/>
      <c r="AH43" s="138"/>
      <c r="AI43" s="194"/>
      <c r="AJ43" s="194"/>
      <c r="AK43" s="198"/>
      <c r="AL43" s="199"/>
      <c r="AM43" s="194"/>
      <c r="AN43" s="200"/>
      <c r="AO43" s="201"/>
      <c r="AP43" s="201"/>
      <c r="AQ43" s="200"/>
      <c r="AR43" s="201"/>
      <c r="AS43" s="197"/>
      <c r="AT43" s="194"/>
      <c r="AU43" s="194"/>
      <c r="AV43" s="198"/>
      <c r="AW43" s="199"/>
      <c r="AX43" s="194"/>
      <c r="AY43" s="218"/>
      <c r="AZ43" s="194"/>
      <c r="BA43" s="194"/>
      <c r="BB43" s="194"/>
      <c r="BC43" s="194"/>
      <c r="BD43" s="138"/>
    </row>
    <row r="44" spans="1:56" ht="16.5" thickBot="1" x14ac:dyDescent="0.3">
      <c r="A44" s="144"/>
      <c r="B44" s="263" t="s">
        <v>389</v>
      </c>
      <c r="C44" s="258">
        <f>26*1.045</f>
        <v>27.169999999999998</v>
      </c>
      <c r="D44" s="253">
        <f>45*1.045</f>
        <v>47.024999999999999</v>
      </c>
      <c r="E44" s="140">
        <f>64*1.045</f>
        <v>66.88</v>
      </c>
      <c r="F44" s="82">
        <f>86*1.045</f>
        <v>89.86999999999999</v>
      </c>
      <c r="G44" s="311">
        <f>125*1.045</f>
        <v>130.625</v>
      </c>
      <c r="H44" s="1010"/>
      <c r="I44" s="143"/>
      <c r="AH44" s="138"/>
      <c r="AI44" s="194"/>
      <c r="AJ44" s="194"/>
      <c r="AK44" s="198"/>
      <c r="AL44" s="199"/>
      <c r="AM44" s="194"/>
      <c r="AN44" s="200"/>
      <c r="AO44" s="201"/>
      <c r="AP44" s="201"/>
      <c r="AQ44" s="200"/>
      <c r="AR44" s="201"/>
      <c r="AS44" s="197"/>
      <c r="AT44" s="194"/>
      <c r="AU44" s="194"/>
      <c r="AV44" s="198"/>
      <c r="AW44" s="199"/>
      <c r="AX44" s="194"/>
      <c r="AY44" s="218"/>
      <c r="AZ44" s="194"/>
      <c r="BA44" s="194"/>
      <c r="BB44" s="194"/>
      <c r="BC44" s="194"/>
      <c r="BD44" s="138"/>
    </row>
    <row r="45" spans="1:56" ht="16.5" thickBot="1" x14ac:dyDescent="0.3">
      <c r="A45" s="144"/>
      <c r="B45" s="263" t="s">
        <v>133</v>
      </c>
      <c r="C45" s="258"/>
      <c r="D45" s="253"/>
      <c r="E45" s="140"/>
      <c r="F45" s="82"/>
      <c r="G45" s="311">
        <f>113*1.045</f>
        <v>118.08499999999999</v>
      </c>
      <c r="H45" s="1010"/>
      <c r="I45" s="143"/>
      <c r="M45" s="338"/>
      <c r="N45" s="338"/>
      <c r="O45" s="338"/>
      <c r="AH45" s="138"/>
      <c r="AI45" s="157" t="s">
        <v>121</v>
      </c>
      <c r="AJ45" s="162"/>
      <c r="AK45" s="182"/>
      <c r="AL45" s="183"/>
      <c r="AM45" s="157" t="s">
        <v>229</v>
      </c>
      <c r="AN45" s="202">
        <v>312.13382860838186</v>
      </c>
      <c r="AO45" s="164"/>
      <c r="AP45" s="164"/>
      <c r="AQ45" s="163">
        <v>416.5</v>
      </c>
      <c r="AR45" s="165"/>
      <c r="AS45" s="197"/>
      <c r="AT45" s="157" t="s">
        <v>121</v>
      </c>
      <c r="AU45" s="162"/>
      <c r="AV45" s="182"/>
      <c r="AW45" s="183"/>
      <c r="AX45" s="157" t="s">
        <v>229</v>
      </c>
      <c r="AY45" s="211">
        <v>211.46876417901291</v>
      </c>
      <c r="AZ45" s="162"/>
      <c r="BA45" s="162"/>
      <c r="BB45" s="211">
        <v>339</v>
      </c>
      <c r="BC45" s="213"/>
      <c r="BD45" s="138"/>
    </row>
    <row r="46" spans="1:56" ht="15.75" x14ac:dyDescent="0.25">
      <c r="A46" s="144"/>
      <c r="B46" s="263" t="s">
        <v>404</v>
      </c>
      <c r="C46" s="258"/>
      <c r="D46" s="253"/>
      <c r="E46" s="140"/>
      <c r="F46" s="82"/>
      <c r="G46" s="311">
        <f>19400*1.045</f>
        <v>20273</v>
      </c>
      <c r="H46" s="1010"/>
      <c r="I46" s="143"/>
      <c r="AH46" s="138"/>
      <c r="AI46" s="172" t="s">
        <v>140</v>
      </c>
      <c r="AJ46" s="150"/>
      <c r="AK46" s="151"/>
      <c r="AL46" s="154"/>
      <c r="AM46" s="150"/>
      <c r="AN46" s="173"/>
      <c r="AO46" s="174"/>
      <c r="AP46" s="174"/>
      <c r="AQ46" s="173"/>
      <c r="AR46" s="175"/>
      <c r="AS46" s="197"/>
      <c r="AT46" s="172" t="s">
        <v>140</v>
      </c>
      <c r="AU46" s="150"/>
      <c r="AV46" s="151"/>
      <c r="AW46" s="154"/>
      <c r="AX46" s="150"/>
      <c r="AY46" s="152"/>
      <c r="AZ46" s="150"/>
      <c r="BA46" s="150"/>
      <c r="BB46" s="151"/>
      <c r="BC46" s="214"/>
      <c r="BD46" s="138"/>
    </row>
    <row r="47" spans="1:56" ht="16.5" thickBot="1" x14ac:dyDescent="0.3">
      <c r="A47" s="144"/>
      <c r="B47" s="264" t="s">
        <v>405</v>
      </c>
      <c r="C47" s="259"/>
      <c r="D47" s="260"/>
      <c r="E47" s="141"/>
      <c r="F47" s="83"/>
      <c r="G47" s="312">
        <f>5000*1.045</f>
        <v>5225</v>
      </c>
      <c r="H47" s="1011"/>
      <c r="I47" s="143"/>
      <c r="K47" s="240"/>
      <c r="L47" s="379"/>
      <c r="M47" s="379"/>
      <c r="N47" s="379"/>
      <c r="O47" s="379"/>
      <c r="P47" s="379"/>
      <c r="AH47" s="138"/>
      <c r="AI47" s="176" t="s">
        <v>154</v>
      </c>
      <c r="AJ47" s="166">
        <v>2000</v>
      </c>
      <c r="AK47" s="167">
        <v>21977416</v>
      </c>
      <c r="AL47" s="168">
        <v>67561</v>
      </c>
      <c r="AM47" s="989">
        <v>325.29737570491852</v>
      </c>
      <c r="AN47" s="989"/>
      <c r="AO47" s="989"/>
      <c r="AP47" s="989">
        <v>414</v>
      </c>
      <c r="AQ47" s="989"/>
      <c r="AR47" s="990"/>
      <c r="AS47" s="197"/>
      <c r="AT47" s="176" t="s">
        <v>155</v>
      </c>
      <c r="AU47" s="166">
        <v>2009</v>
      </c>
      <c r="AV47" s="167">
        <v>16586625</v>
      </c>
      <c r="AW47" s="168">
        <v>58840</v>
      </c>
      <c r="AX47" s="989">
        <v>281.89369476546568</v>
      </c>
      <c r="AY47" s="989"/>
      <c r="AZ47" s="989"/>
      <c r="BA47" s="989">
        <v>423</v>
      </c>
      <c r="BB47" s="989"/>
      <c r="BC47" s="990"/>
      <c r="BD47" s="138"/>
    </row>
    <row r="48" spans="1:56" ht="15.75" thickBot="1" x14ac:dyDescent="0.3">
      <c r="A48" s="144"/>
      <c r="B48" s="146"/>
      <c r="C48" s="146"/>
      <c r="D48" s="146"/>
      <c r="E48" s="146"/>
      <c r="F48" s="146"/>
      <c r="G48" s="146"/>
      <c r="H48" s="146"/>
      <c r="I48" s="147"/>
      <c r="AH48" s="138"/>
      <c r="AI48" s="178" t="s">
        <v>156</v>
      </c>
      <c r="AJ48" s="179">
        <v>2000</v>
      </c>
      <c r="AK48" s="180">
        <v>39676944</v>
      </c>
      <c r="AL48" s="181">
        <v>132712</v>
      </c>
      <c r="AM48" s="1012">
        <v>298.9702815118452</v>
      </c>
      <c r="AN48" s="1012"/>
      <c r="AO48" s="1012"/>
      <c r="AP48" s="1012">
        <v>419</v>
      </c>
      <c r="AQ48" s="1012"/>
      <c r="AR48" s="1013"/>
      <c r="AS48" s="197"/>
      <c r="AT48" s="176" t="s">
        <v>157</v>
      </c>
      <c r="AU48" s="166">
        <v>2013</v>
      </c>
      <c r="AV48" s="167">
        <v>306400</v>
      </c>
      <c r="AW48" s="168">
        <v>1875</v>
      </c>
      <c r="AX48" s="989">
        <v>163.41333333333333</v>
      </c>
      <c r="AY48" s="989"/>
      <c r="AZ48" s="989"/>
      <c r="BA48" s="989">
        <v>235</v>
      </c>
      <c r="BB48" s="989"/>
      <c r="BC48" s="990"/>
      <c r="BD48" s="138"/>
    </row>
    <row r="49" spans="1:56" ht="15.75" thickBot="1" x14ac:dyDescent="0.3">
      <c r="A49" s="426" t="s">
        <v>406</v>
      </c>
      <c r="AH49" s="138"/>
      <c r="AI49" s="194"/>
      <c r="AJ49" s="194"/>
      <c r="AK49" s="198"/>
      <c r="AL49" s="199"/>
      <c r="AM49" s="194"/>
      <c r="AN49" s="200"/>
      <c r="AO49" s="201"/>
      <c r="AP49" s="201"/>
      <c r="AQ49" s="200"/>
      <c r="AR49" s="201"/>
      <c r="AS49" s="197"/>
      <c r="AT49" s="176" t="s">
        <v>158</v>
      </c>
      <c r="AU49" s="166">
        <v>2012</v>
      </c>
      <c r="AV49" s="167">
        <v>180000</v>
      </c>
      <c r="AW49" s="168">
        <v>688</v>
      </c>
      <c r="AX49" s="989">
        <v>261.62790697674421</v>
      </c>
      <c r="AY49" s="989"/>
      <c r="AZ49" s="989"/>
      <c r="BA49" s="989">
        <v>363</v>
      </c>
      <c r="BB49" s="989"/>
      <c r="BC49" s="990"/>
      <c r="BD49" s="138"/>
    </row>
    <row r="50" spans="1:56" ht="16.5" thickBot="1" x14ac:dyDescent="0.3">
      <c r="A50" s="148"/>
      <c r="B50" s="149"/>
      <c r="C50" s="149"/>
      <c r="D50" s="149"/>
      <c r="E50" s="149"/>
      <c r="F50" s="149"/>
      <c r="G50" s="149"/>
      <c r="H50" s="149"/>
      <c r="I50" s="142"/>
      <c r="J50" s="427"/>
      <c r="K50" s="148"/>
      <c r="L50" s="149"/>
      <c r="M50" s="149"/>
      <c r="N50" s="149"/>
      <c r="O50" s="149"/>
      <c r="P50" s="149"/>
      <c r="Q50" s="149"/>
      <c r="R50" s="149"/>
      <c r="S50" s="149"/>
      <c r="T50" s="149"/>
      <c r="U50" s="142"/>
      <c r="AH50" s="138"/>
      <c r="AI50" s="194"/>
      <c r="AJ50" s="194"/>
      <c r="AK50" s="198"/>
      <c r="AL50" s="199"/>
      <c r="AM50" s="194"/>
      <c r="AN50" s="200"/>
      <c r="AO50" s="201"/>
      <c r="AP50" s="201"/>
      <c r="AQ50" s="200"/>
      <c r="AR50" s="201"/>
      <c r="AS50" s="197"/>
      <c r="AT50" s="176" t="s">
        <v>159</v>
      </c>
      <c r="AU50" s="166">
        <v>2012</v>
      </c>
      <c r="AV50" s="167">
        <v>165000</v>
      </c>
      <c r="AW50" s="168">
        <v>724</v>
      </c>
      <c r="AX50" s="989">
        <v>227.90055248618785</v>
      </c>
      <c r="AY50" s="989"/>
      <c r="AZ50" s="989"/>
      <c r="BA50" s="989">
        <v>257</v>
      </c>
      <c r="BB50" s="989"/>
      <c r="BC50" s="990"/>
      <c r="BD50" s="138"/>
    </row>
    <row r="51" spans="1:56" ht="15" customHeight="1" thickBot="1" x14ac:dyDescent="0.3">
      <c r="A51" s="144"/>
      <c r="B51" s="979" t="s">
        <v>562</v>
      </c>
      <c r="C51" s="980"/>
      <c r="D51" s="980"/>
      <c r="E51" s="980"/>
      <c r="F51" s="980"/>
      <c r="G51" s="980"/>
      <c r="H51" s="981"/>
      <c r="I51" s="143"/>
      <c r="K51" s="144"/>
      <c r="L51" s="979" t="s">
        <v>564</v>
      </c>
      <c r="M51" s="980"/>
      <c r="N51" s="980"/>
      <c r="O51" s="980"/>
      <c r="P51" s="980"/>
      <c r="Q51" s="980"/>
      <c r="R51" s="980"/>
      <c r="S51" s="980"/>
      <c r="T51" s="981"/>
      <c r="U51" s="143"/>
      <c r="AH51" s="138"/>
      <c r="AI51" s="194"/>
      <c r="AJ51" s="194"/>
      <c r="AK51" s="198"/>
      <c r="AL51" s="199"/>
      <c r="AM51" s="194"/>
      <c r="AN51" s="200"/>
      <c r="AO51" s="201"/>
      <c r="AP51" s="201"/>
      <c r="AQ51" s="200"/>
      <c r="AR51" s="201"/>
      <c r="AS51" s="197"/>
      <c r="AT51" s="178" t="s">
        <v>160</v>
      </c>
      <c r="AU51" s="179">
        <v>2008</v>
      </c>
      <c r="AV51" s="180">
        <v>735050</v>
      </c>
      <c r="AW51" s="181">
        <v>6000</v>
      </c>
      <c r="AX51" s="1012">
        <v>122.50833333333334</v>
      </c>
      <c r="AY51" s="1012"/>
      <c r="AZ51" s="1012"/>
      <c r="BA51" s="1012">
        <v>417</v>
      </c>
      <c r="BB51" s="1012"/>
      <c r="BC51" s="1013"/>
      <c r="BD51" s="138"/>
    </row>
    <row r="52" spans="1:56" ht="15.75" customHeight="1" thickBot="1" x14ac:dyDescent="0.3">
      <c r="A52" s="144"/>
      <c r="B52" s="985"/>
      <c r="C52" s="986"/>
      <c r="D52" s="986"/>
      <c r="E52" s="986"/>
      <c r="F52" s="986"/>
      <c r="G52" s="986"/>
      <c r="H52" s="987"/>
      <c r="I52" s="143"/>
      <c r="K52" s="144"/>
      <c r="L52" s="985"/>
      <c r="M52" s="986"/>
      <c r="N52" s="986"/>
      <c r="O52" s="986"/>
      <c r="P52" s="986"/>
      <c r="Q52" s="986"/>
      <c r="R52" s="986"/>
      <c r="S52" s="986"/>
      <c r="T52" s="987"/>
      <c r="U52" s="143"/>
      <c r="AH52" s="138"/>
      <c r="AI52" s="194"/>
      <c r="AJ52" s="194"/>
      <c r="AK52" s="198"/>
      <c r="AL52" s="199"/>
      <c r="AM52" s="194"/>
      <c r="AN52" s="200"/>
      <c r="AO52" s="201"/>
      <c r="AP52" s="201"/>
      <c r="AQ52" s="200"/>
      <c r="AR52" s="201"/>
      <c r="AS52" s="197"/>
      <c r="AT52" s="194"/>
      <c r="AU52" s="194"/>
      <c r="AV52" s="198"/>
      <c r="AW52" s="199"/>
      <c r="AX52" s="194"/>
      <c r="AY52" s="218"/>
      <c r="AZ52" s="194"/>
      <c r="BA52" s="194"/>
      <c r="BB52" s="218"/>
      <c r="BC52" s="138"/>
      <c r="BD52" s="138"/>
    </row>
    <row r="53" spans="1:56" ht="15.75" thickBot="1" x14ac:dyDescent="0.3">
      <c r="A53" s="144"/>
      <c r="B53" s="138"/>
      <c r="C53" s="138"/>
      <c r="D53" s="138"/>
      <c r="E53" s="138"/>
      <c r="F53" s="138"/>
      <c r="G53" s="138"/>
      <c r="H53" s="138"/>
      <c r="I53" s="143"/>
      <c r="K53" s="144"/>
      <c r="L53" s="138"/>
      <c r="M53" s="138"/>
      <c r="N53" s="138"/>
      <c r="O53" s="138"/>
      <c r="P53" s="138"/>
      <c r="Q53" s="138"/>
      <c r="R53" s="738" t="s">
        <v>579</v>
      </c>
      <c r="T53" s="214"/>
      <c r="U53" s="143"/>
      <c r="AH53" s="138"/>
      <c r="AI53" s="157" t="s">
        <v>161</v>
      </c>
      <c r="AJ53" s="162"/>
      <c r="AK53" s="182"/>
      <c r="AL53" s="183"/>
      <c r="AM53" s="157" t="s">
        <v>229</v>
      </c>
      <c r="AN53" s="202">
        <v>327.42108267672916</v>
      </c>
      <c r="AO53" s="164"/>
      <c r="AP53" s="164"/>
      <c r="AQ53" s="163">
        <v>422.5</v>
      </c>
      <c r="AR53" s="165"/>
      <c r="AS53" s="197"/>
      <c r="AT53" s="157" t="s">
        <v>161</v>
      </c>
      <c r="AU53" s="162"/>
      <c r="AV53" s="182"/>
      <c r="AW53" s="183"/>
      <c r="AX53" s="157" t="s">
        <v>229</v>
      </c>
      <c r="AY53" s="211">
        <v>238.2602156307386</v>
      </c>
      <c r="AZ53" s="162"/>
      <c r="BA53" s="162"/>
      <c r="BB53" s="182">
        <v>369.25</v>
      </c>
      <c r="BC53" s="204"/>
      <c r="BD53" s="138"/>
    </row>
    <row r="54" spans="1:56" ht="18" thickBot="1" x14ac:dyDescent="0.3">
      <c r="A54" s="144"/>
      <c r="B54" s="997"/>
      <c r="C54" s="1022" t="s">
        <v>4</v>
      </c>
      <c r="D54" s="1023"/>
      <c r="E54" s="1023"/>
      <c r="F54" s="1023"/>
      <c r="G54" s="1023"/>
      <c r="H54" s="1024"/>
      <c r="I54" s="143"/>
      <c r="K54" s="144"/>
      <c r="L54" s="721" t="s">
        <v>136</v>
      </c>
      <c r="M54" s="1030" t="s">
        <v>504</v>
      </c>
      <c r="N54" s="1031"/>
      <c r="O54" s="739" t="s">
        <v>572</v>
      </c>
      <c r="P54" s="740" t="s">
        <v>573</v>
      </c>
      <c r="Q54" s="741" t="s">
        <v>578</v>
      </c>
      <c r="R54" s="733" t="s">
        <v>580</v>
      </c>
      <c r="S54" s="729" t="s">
        <v>581</v>
      </c>
      <c r="T54" s="734" t="s">
        <v>578</v>
      </c>
      <c r="U54" s="143"/>
      <c r="AH54" s="138"/>
      <c r="AI54" s="172" t="s">
        <v>140</v>
      </c>
      <c r="AJ54" s="150"/>
      <c r="AK54" s="151"/>
      <c r="AL54" s="154"/>
      <c r="AM54" s="150"/>
      <c r="AN54" s="173"/>
      <c r="AO54" s="174"/>
      <c r="AP54" s="174"/>
      <c r="AQ54" s="173"/>
      <c r="AR54" s="175"/>
      <c r="AS54" s="197"/>
      <c r="AT54" s="172" t="s">
        <v>140</v>
      </c>
      <c r="AU54" s="150"/>
      <c r="AV54" s="151"/>
      <c r="AW54" s="154"/>
      <c r="AX54" s="150"/>
      <c r="AY54" s="152"/>
      <c r="AZ54" s="150"/>
      <c r="BA54" s="150"/>
      <c r="BB54" s="151"/>
      <c r="BC54" s="214"/>
      <c r="BD54" s="138"/>
    </row>
    <row r="55" spans="1:56" ht="16.5" thickBot="1" x14ac:dyDescent="0.3">
      <c r="A55" s="144"/>
      <c r="B55" s="998"/>
      <c r="C55" s="1025"/>
      <c r="D55" s="1026"/>
      <c r="E55" s="1026"/>
      <c r="F55" s="1026"/>
      <c r="G55" s="1026"/>
      <c r="H55" s="1027"/>
      <c r="I55" s="143"/>
      <c r="K55" s="144"/>
      <c r="L55" s="263" t="s">
        <v>248</v>
      </c>
      <c r="M55" s="1016" t="s">
        <v>565</v>
      </c>
      <c r="N55" s="1017"/>
      <c r="O55" s="742">
        <v>0.2</v>
      </c>
      <c r="P55" s="730">
        <v>0.08</v>
      </c>
      <c r="Q55" s="736">
        <f>SUM(O55:P55)</f>
        <v>0.28000000000000003</v>
      </c>
      <c r="R55" s="735">
        <f>O55*1.1</f>
        <v>0.22000000000000003</v>
      </c>
      <c r="S55" s="731">
        <f>P55*1.1</f>
        <v>8.8000000000000009E-2</v>
      </c>
      <c r="T55" s="736">
        <f>Q55*1.1</f>
        <v>0.30800000000000005</v>
      </c>
      <c r="U55" s="143"/>
      <c r="AH55" s="138"/>
      <c r="AI55" s="176" t="s">
        <v>162</v>
      </c>
      <c r="AJ55" s="166">
        <v>2005</v>
      </c>
      <c r="AK55" s="167">
        <v>9555000</v>
      </c>
      <c r="AL55" s="168">
        <v>29000</v>
      </c>
      <c r="AM55" s="989">
        <v>329.48275862068965</v>
      </c>
      <c r="AN55" s="989"/>
      <c r="AO55" s="989"/>
      <c r="AP55" s="989">
        <v>417</v>
      </c>
      <c r="AQ55" s="989"/>
      <c r="AR55" s="990"/>
      <c r="AS55" s="197"/>
      <c r="AT55" s="176" t="s">
        <v>163</v>
      </c>
      <c r="AU55" s="166">
        <v>2010</v>
      </c>
      <c r="AV55" s="167">
        <v>8850000</v>
      </c>
      <c r="AW55" s="168">
        <v>36000</v>
      </c>
      <c r="AX55" s="989">
        <v>245.83333333333334</v>
      </c>
      <c r="AY55" s="989"/>
      <c r="AZ55" s="989"/>
      <c r="BA55" s="989">
        <v>387</v>
      </c>
      <c r="BB55" s="989"/>
      <c r="BC55" s="990"/>
      <c r="BD55" s="138"/>
    </row>
    <row r="56" spans="1:56" ht="16.5" thickBot="1" x14ac:dyDescent="0.3">
      <c r="A56" s="144"/>
      <c r="B56" s="296"/>
      <c r="C56" s="254" t="s">
        <v>257</v>
      </c>
      <c r="D56" s="255" t="s">
        <v>258</v>
      </c>
      <c r="E56" s="256" t="s">
        <v>259</v>
      </c>
      <c r="F56" s="257" t="s">
        <v>260</v>
      </c>
      <c r="G56" s="310" t="s">
        <v>107</v>
      </c>
      <c r="H56" s="261" t="s">
        <v>261</v>
      </c>
      <c r="I56" s="143"/>
      <c r="K56" s="144"/>
      <c r="L56" s="263" t="s">
        <v>249</v>
      </c>
      <c r="M56" s="1018"/>
      <c r="N56" s="1019"/>
      <c r="O56" s="743">
        <v>0.2</v>
      </c>
      <c r="P56" s="732">
        <v>0.08</v>
      </c>
      <c r="Q56" s="736">
        <f t="shared" ref="Q56:Q78" si="0">SUM(O56:P56)</f>
        <v>0.28000000000000003</v>
      </c>
      <c r="R56" s="735">
        <f t="shared" ref="R56:R78" si="1">O56*1.1</f>
        <v>0.22000000000000003</v>
      </c>
      <c r="S56" s="731">
        <f t="shared" ref="S56:S78" si="2">P56*1.1</f>
        <v>8.8000000000000009E-2</v>
      </c>
      <c r="T56" s="736">
        <f t="shared" ref="T56:T78" si="3">Q56*1.1</f>
        <v>0.30800000000000005</v>
      </c>
      <c r="U56" s="143"/>
      <c r="AH56" s="138"/>
      <c r="AI56" s="176" t="s">
        <v>164</v>
      </c>
      <c r="AJ56" s="166">
        <v>2000</v>
      </c>
      <c r="AK56" s="167">
        <v>34105000</v>
      </c>
      <c r="AL56" s="168">
        <v>113607</v>
      </c>
      <c r="AM56" s="989">
        <v>300.20157208622709</v>
      </c>
      <c r="AN56" s="989"/>
      <c r="AO56" s="989"/>
      <c r="AP56" s="989">
        <v>389</v>
      </c>
      <c r="AQ56" s="989"/>
      <c r="AR56" s="990"/>
      <c r="AS56" s="197"/>
      <c r="AT56" s="176" t="s">
        <v>165</v>
      </c>
      <c r="AU56" s="166">
        <v>2011</v>
      </c>
      <c r="AV56" s="167">
        <v>820293</v>
      </c>
      <c r="AW56" s="168">
        <v>3546</v>
      </c>
      <c r="AX56" s="989">
        <v>231.32910321489001</v>
      </c>
      <c r="AY56" s="989"/>
      <c r="AZ56" s="989"/>
      <c r="BA56" s="989">
        <v>412</v>
      </c>
      <c r="BB56" s="989"/>
      <c r="BC56" s="990"/>
      <c r="BD56" s="138"/>
    </row>
    <row r="57" spans="1:56" ht="15.75" x14ac:dyDescent="0.25">
      <c r="A57" s="144"/>
      <c r="B57" s="262" t="s">
        <v>240</v>
      </c>
      <c r="C57" s="258">
        <f>64*1.045</f>
        <v>66.88</v>
      </c>
      <c r="D57" s="253">
        <f>109*1.045</f>
        <v>113.90499999999999</v>
      </c>
      <c r="E57" s="140">
        <f>155*1.045</f>
        <v>161.97499999999999</v>
      </c>
      <c r="F57" s="82">
        <f>182*1.045</f>
        <v>190.19</v>
      </c>
      <c r="G57" s="311">
        <f>182*1.045</f>
        <v>190.19</v>
      </c>
      <c r="H57" s="377">
        <v>0.05</v>
      </c>
      <c r="I57" s="143"/>
      <c r="K57" s="144"/>
      <c r="L57" s="263" t="s">
        <v>255</v>
      </c>
      <c r="M57" s="1018"/>
      <c r="N57" s="1019"/>
      <c r="O57" s="743">
        <v>0.2</v>
      </c>
      <c r="P57" s="732">
        <v>0.08</v>
      </c>
      <c r="Q57" s="736">
        <f t="shared" si="0"/>
        <v>0.28000000000000003</v>
      </c>
      <c r="R57" s="735">
        <f t="shared" si="1"/>
        <v>0.22000000000000003</v>
      </c>
      <c r="S57" s="731">
        <f t="shared" si="2"/>
        <v>8.8000000000000009E-2</v>
      </c>
      <c r="T57" s="736">
        <f t="shared" si="3"/>
        <v>0.30800000000000005</v>
      </c>
      <c r="U57" s="143"/>
      <c r="AH57" s="138"/>
      <c r="AI57" s="176" t="s">
        <v>166</v>
      </c>
      <c r="AJ57" s="166">
        <v>2013</v>
      </c>
      <c r="AK57" s="167"/>
      <c r="AL57" s="168"/>
      <c r="AM57" s="989">
        <v>326</v>
      </c>
      <c r="AN57" s="989"/>
      <c r="AO57" s="989"/>
      <c r="AP57" s="989">
        <v>424</v>
      </c>
      <c r="AQ57" s="989"/>
      <c r="AR57" s="990"/>
      <c r="AS57" s="197"/>
      <c r="AT57" s="176" t="s">
        <v>167</v>
      </c>
      <c r="AU57" s="166">
        <v>2011</v>
      </c>
      <c r="AV57" s="167">
        <v>2939047</v>
      </c>
      <c r="AW57" s="168">
        <v>4287</v>
      </c>
      <c r="AX57" s="989">
        <v>685.57196174480987</v>
      </c>
      <c r="AY57" s="989"/>
      <c r="AZ57" s="989"/>
      <c r="BA57" s="989">
        <v>891</v>
      </c>
      <c r="BB57" s="989"/>
      <c r="BC57" s="990"/>
      <c r="BD57" s="138"/>
    </row>
    <row r="58" spans="1:56" ht="16.5" thickBot="1" x14ac:dyDescent="0.3">
      <c r="A58" s="144"/>
      <c r="B58" s="263" t="s">
        <v>241</v>
      </c>
      <c r="C58" s="258">
        <f>57*1.045</f>
        <v>59.564999999999998</v>
      </c>
      <c r="D58" s="253">
        <f>97*1.045</f>
        <v>101.36499999999999</v>
      </c>
      <c r="E58" s="140">
        <f>137*1.045</f>
        <v>143.16499999999999</v>
      </c>
      <c r="F58" s="82">
        <f>162*1.045</f>
        <v>169.29</v>
      </c>
      <c r="G58" s="311">
        <f>162*1.045</f>
        <v>169.29</v>
      </c>
      <c r="H58" s="377">
        <v>0.05</v>
      </c>
      <c r="I58" s="143"/>
      <c r="K58" s="144"/>
      <c r="L58" s="263" t="s">
        <v>389</v>
      </c>
      <c r="M58" s="1018"/>
      <c r="N58" s="1019"/>
      <c r="O58" s="743">
        <v>0.2</v>
      </c>
      <c r="P58" s="732">
        <v>0.08</v>
      </c>
      <c r="Q58" s="736">
        <f t="shared" si="0"/>
        <v>0.28000000000000003</v>
      </c>
      <c r="R58" s="735">
        <f t="shared" si="1"/>
        <v>0.22000000000000003</v>
      </c>
      <c r="S58" s="731">
        <f t="shared" si="2"/>
        <v>8.8000000000000009E-2</v>
      </c>
      <c r="T58" s="736">
        <f t="shared" si="3"/>
        <v>0.30800000000000005</v>
      </c>
      <c r="U58" s="143"/>
      <c r="AH58" s="138"/>
      <c r="AI58" s="178" t="s">
        <v>147</v>
      </c>
      <c r="AJ58" s="179">
        <v>2013</v>
      </c>
      <c r="AK58" s="180"/>
      <c r="AL58" s="181"/>
      <c r="AM58" s="1012">
        <v>354</v>
      </c>
      <c r="AN58" s="1012"/>
      <c r="AO58" s="1012"/>
      <c r="AP58" s="1012">
        <v>460</v>
      </c>
      <c r="AQ58" s="1012"/>
      <c r="AR58" s="1013"/>
      <c r="AS58" s="197"/>
      <c r="AT58" s="176" t="s">
        <v>168</v>
      </c>
      <c r="AU58" s="166">
        <v>2009</v>
      </c>
      <c r="AV58" s="167">
        <v>3248185</v>
      </c>
      <c r="AW58" s="168">
        <v>17500</v>
      </c>
      <c r="AX58" s="989">
        <v>185.61057142857143</v>
      </c>
      <c r="AY58" s="989"/>
      <c r="AZ58" s="989"/>
      <c r="BA58" s="989">
        <v>254</v>
      </c>
      <c r="BB58" s="989"/>
      <c r="BC58" s="990"/>
      <c r="BD58" s="138"/>
    </row>
    <row r="59" spans="1:56" ht="16.5" thickBot="1" x14ac:dyDescent="0.3">
      <c r="A59" s="144"/>
      <c r="B59" s="263" t="s">
        <v>242</v>
      </c>
      <c r="C59" s="258">
        <f>86*1.045</f>
        <v>89.86999999999999</v>
      </c>
      <c r="D59" s="253">
        <f>148*1.045</f>
        <v>154.66</v>
      </c>
      <c r="E59" s="140">
        <f>209*1.045</f>
        <v>218.40499999999997</v>
      </c>
      <c r="F59" s="82">
        <f>246*1.045</f>
        <v>257.07</v>
      </c>
      <c r="G59" s="311">
        <f>246*1.045</f>
        <v>257.07</v>
      </c>
      <c r="H59" s="377">
        <v>0.15</v>
      </c>
      <c r="I59" s="143"/>
      <c r="K59" s="144"/>
      <c r="L59" s="263" t="s">
        <v>240</v>
      </c>
      <c r="M59" s="1018" t="s">
        <v>566</v>
      </c>
      <c r="N59" s="1019"/>
      <c r="O59" s="743">
        <v>0.22</v>
      </c>
      <c r="P59" s="732">
        <v>0.08</v>
      </c>
      <c r="Q59" s="736">
        <f t="shared" si="0"/>
        <v>0.3</v>
      </c>
      <c r="R59" s="735">
        <f t="shared" si="1"/>
        <v>0.24200000000000002</v>
      </c>
      <c r="S59" s="731">
        <f t="shared" si="2"/>
        <v>8.8000000000000009E-2</v>
      </c>
      <c r="T59" s="736">
        <f t="shared" si="3"/>
        <v>0.33</v>
      </c>
      <c r="U59" s="143"/>
      <c r="AH59" s="138"/>
      <c r="AI59" s="194"/>
      <c r="AJ59" s="194"/>
      <c r="AK59" s="198"/>
      <c r="AL59" s="199"/>
      <c r="AM59" s="194"/>
      <c r="AN59" s="200"/>
      <c r="AO59" s="201"/>
      <c r="AP59" s="201"/>
      <c r="AQ59" s="200"/>
      <c r="AR59" s="201"/>
      <c r="AS59" s="197"/>
      <c r="AT59" s="178" t="s">
        <v>169</v>
      </c>
      <c r="AU59" s="179">
        <v>2005</v>
      </c>
      <c r="AV59" s="180">
        <v>29942000</v>
      </c>
      <c r="AW59" s="181">
        <v>103153</v>
      </c>
      <c r="AX59" s="1012">
        <v>290.26785454615958</v>
      </c>
      <c r="AY59" s="1012"/>
      <c r="AZ59" s="1012"/>
      <c r="BA59" s="1012">
        <v>424</v>
      </c>
      <c r="BB59" s="1012"/>
      <c r="BC59" s="1013"/>
      <c r="BD59" s="138"/>
    </row>
    <row r="60" spans="1:56" ht="16.5" thickBot="1" x14ac:dyDescent="0.3">
      <c r="A60" s="144"/>
      <c r="B60" s="263" t="s">
        <v>243</v>
      </c>
      <c r="C60" s="258">
        <f>70*1.045</f>
        <v>73.149999999999991</v>
      </c>
      <c r="D60" s="253">
        <f>119*1.045</f>
        <v>124.35499999999999</v>
      </c>
      <c r="E60" s="140">
        <f>169*1.045</f>
        <v>176.60499999999999</v>
      </c>
      <c r="F60" s="82">
        <f>199*1.045</f>
        <v>207.95499999999998</v>
      </c>
      <c r="G60" s="311">
        <f>199*1.045</f>
        <v>207.95499999999998</v>
      </c>
      <c r="H60" s="377">
        <v>0.05</v>
      </c>
      <c r="I60" s="143"/>
      <c r="K60" s="144"/>
      <c r="L60" s="263" t="s">
        <v>241</v>
      </c>
      <c r="M60" s="1018"/>
      <c r="N60" s="1019"/>
      <c r="O60" s="743">
        <v>0.22</v>
      </c>
      <c r="P60" s="732">
        <v>0.08</v>
      </c>
      <c r="Q60" s="736">
        <f t="shared" si="0"/>
        <v>0.3</v>
      </c>
      <c r="R60" s="735">
        <f t="shared" si="1"/>
        <v>0.24200000000000002</v>
      </c>
      <c r="S60" s="731">
        <f t="shared" si="2"/>
        <v>8.8000000000000009E-2</v>
      </c>
      <c r="T60" s="736">
        <f t="shared" si="3"/>
        <v>0.33</v>
      </c>
      <c r="U60" s="143"/>
      <c r="AH60" s="138"/>
      <c r="AI60" s="194"/>
      <c r="AJ60" s="194"/>
      <c r="AK60" s="198"/>
      <c r="AL60" s="199"/>
      <c r="AM60" s="194"/>
      <c r="AN60" s="200"/>
      <c r="AO60" s="201"/>
      <c r="AP60" s="201"/>
      <c r="AQ60" s="200"/>
      <c r="AR60" s="201"/>
      <c r="AS60" s="197"/>
      <c r="AT60" s="194"/>
      <c r="AU60" s="194"/>
      <c r="AV60" s="198"/>
      <c r="AW60" s="199"/>
      <c r="AX60" s="194"/>
      <c r="AY60" s="218"/>
      <c r="AZ60" s="194"/>
      <c r="BA60" s="194"/>
      <c r="BB60" s="218"/>
      <c r="BC60" s="138"/>
      <c r="BD60" s="138"/>
    </row>
    <row r="61" spans="1:56" ht="16.5" thickBot="1" x14ac:dyDescent="0.3">
      <c r="A61" s="144"/>
      <c r="B61" s="263" t="s">
        <v>244</v>
      </c>
      <c r="C61" s="258">
        <f>175*1.045</f>
        <v>182.875</v>
      </c>
      <c r="D61" s="253">
        <f>175*1.045</f>
        <v>182.875</v>
      </c>
      <c r="E61" s="140">
        <f>258*1.045</f>
        <v>269.60999999999996</v>
      </c>
      <c r="F61" s="82">
        <f>292*1.045</f>
        <v>305.14</v>
      </c>
      <c r="G61" s="311">
        <f>292*1.045</f>
        <v>305.14</v>
      </c>
      <c r="H61" s="377">
        <v>0.15</v>
      </c>
      <c r="I61" s="143"/>
      <c r="K61" s="144"/>
      <c r="L61" s="263" t="s">
        <v>16</v>
      </c>
      <c r="M61" s="1018"/>
      <c r="N61" s="1019"/>
      <c r="O61" s="743">
        <v>0.22</v>
      </c>
      <c r="P61" s="732">
        <v>0.08</v>
      </c>
      <c r="Q61" s="736">
        <f t="shared" si="0"/>
        <v>0.3</v>
      </c>
      <c r="R61" s="735">
        <f t="shared" si="1"/>
        <v>0.24200000000000002</v>
      </c>
      <c r="S61" s="731">
        <f t="shared" si="2"/>
        <v>8.8000000000000009E-2</v>
      </c>
      <c r="T61" s="736">
        <f t="shared" si="3"/>
        <v>0.33</v>
      </c>
      <c r="U61" s="143"/>
      <c r="AH61" s="138"/>
      <c r="AI61" s="157" t="s">
        <v>170</v>
      </c>
      <c r="AJ61" s="162"/>
      <c r="AK61" s="182"/>
      <c r="AL61" s="183"/>
      <c r="AM61" s="157" t="s">
        <v>229</v>
      </c>
      <c r="AN61" s="202">
        <v>350.06920576071002</v>
      </c>
      <c r="AO61" s="164"/>
      <c r="AP61" s="164"/>
      <c r="AQ61" s="163">
        <v>463.33333333333331</v>
      </c>
      <c r="AR61" s="165"/>
      <c r="AS61" s="197"/>
      <c r="AT61" s="157" t="s">
        <v>170</v>
      </c>
      <c r="AU61" s="162"/>
      <c r="AV61" s="182"/>
      <c r="AW61" s="183"/>
      <c r="AX61" s="157" t="s">
        <v>229</v>
      </c>
      <c r="AY61" s="211">
        <v>365.34235294117644</v>
      </c>
      <c r="AZ61" s="162"/>
      <c r="BA61" s="162"/>
      <c r="BB61" s="182">
        <v>540.9</v>
      </c>
      <c r="BC61" s="204"/>
      <c r="BD61" s="138"/>
    </row>
    <row r="62" spans="1:56" ht="15.75" x14ac:dyDescent="0.25">
      <c r="A62" s="144"/>
      <c r="B62" s="263" t="s">
        <v>245</v>
      </c>
      <c r="C62" s="258">
        <f>136*1.045</f>
        <v>142.12</v>
      </c>
      <c r="D62" s="253">
        <f>136*1.045</f>
        <v>142.12</v>
      </c>
      <c r="E62" s="140">
        <f>192*1.045</f>
        <v>200.64</v>
      </c>
      <c r="F62" s="82">
        <f>226*1.045</f>
        <v>236.17</v>
      </c>
      <c r="G62" s="311">
        <f>226*1.045</f>
        <v>236.17</v>
      </c>
      <c r="H62" s="377">
        <v>0.08</v>
      </c>
      <c r="I62" s="143"/>
      <c r="K62" s="144"/>
      <c r="L62" s="263" t="s">
        <v>242</v>
      </c>
      <c r="M62" s="1018" t="s">
        <v>567</v>
      </c>
      <c r="N62" s="1019"/>
      <c r="O62" s="743">
        <v>0.3</v>
      </c>
      <c r="P62" s="732">
        <v>0.15</v>
      </c>
      <c r="Q62" s="736">
        <f t="shared" si="0"/>
        <v>0.44999999999999996</v>
      </c>
      <c r="R62" s="735">
        <f t="shared" si="1"/>
        <v>0.33</v>
      </c>
      <c r="S62" s="731">
        <f t="shared" si="2"/>
        <v>0.16500000000000001</v>
      </c>
      <c r="T62" s="736">
        <f t="shared" si="3"/>
        <v>0.495</v>
      </c>
      <c r="U62" s="143"/>
      <c r="AH62" s="138"/>
      <c r="AI62" s="172" t="s">
        <v>140</v>
      </c>
      <c r="AJ62" s="150"/>
      <c r="AK62" s="151"/>
      <c r="AL62" s="154"/>
      <c r="AM62" s="150"/>
      <c r="AN62" s="173"/>
      <c r="AO62" s="174"/>
      <c r="AP62" s="174"/>
      <c r="AQ62" s="173"/>
      <c r="AR62" s="175"/>
      <c r="AS62" s="197"/>
      <c r="AT62" s="172" t="s">
        <v>140</v>
      </c>
      <c r="AU62" s="150"/>
      <c r="AV62" s="151"/>
      <c r="AW62" s="154"/>
      <c r="AX62" s="150"/>
      <c r="AY62" s="152"/>
      <c r="AZ62" s="150"/>
      <c r="BA62" s="150"/>
      <c r="BB62" s="151"/>
      <c r="BC62" s="214"/>
      <c r="BD62" s="138"/>
    </row>
    <row r="63" spans="1:56" ht="15.75" x14ac:dyDescent="0.25">
      <c r="A63" s="144"/>
      <c r="B63" s="263" t="s">
        <v>246</v>
      </c>
      <c r="C63" s="258">
        <f>124*1.045</f>
        <v>129.57999999999998</v>
      </c>
      <c r="D63" s="253">
        <f>213*1.045</f>
        <v>222.58499999999998</v>
      </c>
      <c r="E63" s="140">
        <f>302*1.045</f>
        <v>315.58999999999997</v>
      </c>
      <c r="F63" s="82">
        <f>355*1.045</f>
        <v>370.97499999999997</v>
      </c>
      <c r="G63" s="311">
        <f>355*1.045</f>
        <v>370.97499999999997</v>
      </c>
      <c r="H63" s="377">
        <v>0.15</v>
      </c>
      <c r="I63" s="143"/>
      <c r="K63" s="144"/>
      <c r="L63" s="263" t="s">
        <v>243</v>
      </c>
      <c r="M63" s="1018"/>
      <c r="N63" s="1019"/>
      <c r="O63" s="743">
        <v>0.3</v>
      </c>
      <c r="P63" s="732">
        <v>0.15</v>
      </c>
      <c r="Q63" s="736">
        <f t="shared" si="0"/>
        <v>0.44999999999999996</v>
      </c>
      <c r="R63" s="735">
        <f t="shared" si="1"/>
        <v>0.33</v>
      </c>
      <c r="S63" s="731">
        <f t="shared" si="2"/>
        <v>0.16500000000000001</v>
      </c>
      <c r="T63" s="736">
        <f t="shared" si="3"/>
        <v>0.495</v>
      </c>
      <c r="U63" s="143"/>
      <c r="AH63" s="138"/>
      <c r="AI63" s="176" t="s">
        <v>171</v>
      </c>
      <c r="AJ63" s="166">
        <v>2002</v>
      </c>
      <c r="AK63" s="167">
        <v>78924000</v>
      </c>
      <c r="AL63" s="168">
        <v>232306</v>
      </c>
      <c r="AM63" s="989">
        <v>339.74154778610972</v>
      </c>
      <c r="AN63" s="989"/>
      <c r="AO63" s="989"/>
      <c r="AP63" s="989">
        <v>446</v>
      </c>
      <c r="AQ63" s="989"/>
      <c r="AR63" s="990"/>
      <c r="AS63" s="197"/>
      <c r="AT63" s="176" t="s">
        <v>172</v>
      </c>
      <c r="AU63" s="166">
        <v>1997</v>
      </c>
      <c r="AV63" s="167">
        <v>28891000</v>
      </c>
      <c r="AW63" s="168">
        <v>118513</v>
      </c>
      <c r="AX63" s="989">
        <v>243.77916346729896</v>
      </c>
      <c r="AY63" s="989"/>
      <c r="AZ63" s="989"/>
      <c r="BA63" s="989">
        <v>321</v>
      </c>
      <c r="BB63" s="989"/>
      <c r="BC63" s="990"/>
      <c r="BD63" s="138"/>
    </row>
    <row r="64" spans="1:56" ht="15.75" x14ac:dyDescent="0.25">
      <c r="A64" s="144"/>
      <c r="B64" s="263" t="s">
        <v>247</v>
      </c>
      <c r="C64" s="258">
        <f>104*1.045</f>
        <v>108.67999999999999</v>
      </c>
      <c r="D64" s="253">
        <f>179*1.045</f>
        <v>187.05499999999998</v>
      </c>
      <c r="E64" s="140">
        <f>253*1.045</f>
        <v>264.38499999999999</v>
      </c>
      <c r="F64" s="82">
        <f>298*1.045</f>
        <v>311.40999999999997</v>
      </c>
      <c r="G64" s="311">
        <f>298*1.045</f>
        <v>311.40999999999997</v>
      </c>
      <c r="H64" s="377">
        <v>0.1</v>
      </c>
      <c r="I64" s="143"/>
      <c r="K64" s="144"/>
      <c r="L64" s="263" t="s">
        <v>244</v>
      </c>
      <c r="M64" s="1018"/>
      <c r="N64" s="1019"/>
      <c r="O64" s="743">
        <v>0.3</v>
      </c>
      <c r="P64" s="732">
        <v>0.15</v>
      </c>
      <c r="Q64" s="736">
        <f t="shared" si="0"/>
        <v>0.44999999999999996</v>
      </c>
      <c r="R64" s="735">
        <f t="shared" si="1"/>
        <v>0.33</v>
      </c>
      <c r="S64" s="731">
        <f t="shared" si="2"/>
        <v>0.16500000000000001</v>
      </c>
      <c r="T64" s="736">
        <f t="shared" si="3"/>
        <v>0.495</v>
      </c>
      <c r="U64" s="143"/>
      <c r="AH64" s="138"/>
      <c r="AI64" s="176" t="s">
        <v>173</v>
      </c>
      <c r="AJ64" s="166">
        <v>2001</v>
      </c>
      <c r="AK64" s="167">
        <v>32540000</v>
      </c>
      <c r="AL64" s="168">
        <v>107250</v>
      </c>
      <c r="AM64" s="989">
        <v>303.4032634032634</v>
      </c>
      <c r="AN64" s="989"/>
      <c r="AO64" s="989"/>
      <c r="AP64" s="989">
        <v>367</v>
      </c>
      <c r="AQ64" s="989"/>
      <c r="AR64" s="990"/>
      <c r="AS64" s="197"/>
      <c r="AT64" s="176" t="s">
        <v>174</v>
      </c>
      <c r="AU64" s="166">
        <v>2011</v>
      </c>
      <c r="AV64" s="167">
        <v>420671</v>
      </c>
      <c r="AW64" s="168">
        <v>850</v>
      </c>
      <c r="AX64" s="989">
        <v>494.90705882352944</v>
      </c>
      <c r="AY64" s="989"/>
      <c r="AZ64" s="989"/>
      <c r="BA64" s="989">
        <v>807</v>
      </c>
      <c r="BB64" s="989"/>
      <c r="BC64" s="990"/>
      <c r="BD64" s="138"/>
    </row>
    <row r="65" spans="1:56" ht="15.75" x14ac:dyDescent="0.25">
      <c r="A65" s="144"/>
      <c r="B65" s="263" t="s">
        <v>248</v>
      </c>
      <c r="C65" s="258">
        <f>36*1.045</f>
        <v>37.619999999999997</v>
      </c>
      <c r="D65" s="253">
        <f>61*1.045</f>
        <v>63.744999999999997</v>
      </c>
      <c r="E65" s="140">
        <f>87*1.045</f>
        <v>90.914999999999992</v>
      </c>
      <c r="F65" s="82">
        <f>102*1.045</f>
        <v>106.58999999999999</v>
      </c>
      <c r="G65" s="311">
        <f>102*1.045</f>
        <v>106.58999999999999</v>
      </c>
      <c r="H65" s="377">
        <v>0.05</v>
      </c>
      <c r="I65" s="143"/>
      <c r="K65" s="144"/>
      <c r="L65" s="263" t="s">
        <v>245</v>
      </c>
      <c r="M65" s="1018"/>
      <c r="N65" s="1019"/>
      <c r="O65" s="743">
        <v>0.3</v>
      </c>
      <c r="P65" s="732">
        <v>0.15</v>
      </c>
      <c r="Q65" s="736">
        <f t="shared" si="0"/>
        <v>0.44999999999999996</v>
      </c>
      <c r="R65" s="735">
        <f t="shared" si="1"/>
        <v>0.33</v>
      </c>
      <c r="S65" s="731">
        <f t="shared" si="2"/>
        <v>0.16500000000000001</v>
      </c>
      <c r="T65" s="736">
        <f t="shared" si="3"/>
        <v>0.495</v>
      </c>
      <c r="U65" s="143"/>
      <c r="AH65" s="138"/>
      <c r="AI65" s="176" t="s">
        <v>175</v>
      </c>
      <c r="AJ65" s="166">
        <v>1994</v>
      </c>
      <c r="AK65" s="167">
        <v>21128420</v>
      </c>
      <c r="AL65" s="168">
        <v>62739</v>
      </c>
      <c r="AM65" s="989">
        <v>336.76692328535677</v>
      </c>
      <c r="AN65" s="989"/>
      <c r="AO65" s="989"/>
      <c r="AP65" s="989">
        <v>439</v>
      </c>
      <c r="AQ65" s="989"/>
      <c r="AR65" s="990"/>
      <c r="AS65" s="197"/>
      <c r="AT65" s="176" t="s">
        <v>176</v>
      </c>
      <c r="AU65" s="166">
        <v>2011</v>
      </c>
      <c r="AV65" s="167">
        <v>183484</v>
      </c>
      <c r="AW65" s="168">
        <v>700</v>
      </c>
      <c r="AX65" s="989">
        <v>262.12</v>
      </c>
      <c r="AY65" s="989"/>
      <c r="AZ65" s="989"/>
      <c r="BA65" s="989">
        <v>375</v>
      </c>
      <c r="BB65" s="989"/>
      <c r="BC65" s="990"/>
      <c r="BD65" s="138"/>
    </row>
    <row r="66" spans="1:56" ht="15.75" x14ac:dyDescent="0.25">
      <c r="A66" s="144"/>
      <c r="B66" s="263" t="s">
        <v>249</v>
      </c>
      <c r="C66" s="258">
        <f>55*1.045</f>
        <v>57.474999999999994</v>
      </c>
      <c r="D66" s="253">
        <f>94*1.045</f>
        <v>98.22999999999999</v>
      </c>
      <c r="E66" s="140">
        <f>133*1.045</f>
        <v>138.98499999999999</v>
      </c>
      <c r="F66" s="82">
        <f>157*1.045</f>
        <v>164.065</v>
      </c>
      <c r="G66" s="311">
        <f>157*1.045</f>
        <v>164.065</v>
      </c>
      <c r="H66" s="377">
        <v>0.08</v>
      </c>
      <c r="I66" s="143"/>
      <c r="K66" s="144"/>
      <c r="L66" s="263" t="s">
        <v>246</v>
      </c>
      <c r="M66" s="1018"/>
      <c r="N66" s="1019"/>
      <c r="O66" s="743">
        <v>0.3</v>
      </c>
      <c r="P66" s="732">
        <v>0.15</v>
      </c>
      <c r="Q66" s="736">
        <f t="shared" si="0"/>
        <v>0.44999999999999996</v>
      </c>
      <c r="R66" s="735">
        <f t="shared" si="1"/>
        <v>0.33</v>
      </c>
      <c r="S66" s="731">
        <f t="shared" si="2"/>
        <v>0.16500000000000001</v>
      </c>
      <c r="T66" s="736">
        <f t="shared" si="3"/>
        <v>0.495</v>
      </c>
      <c r="U66" s="143"/>
      <c r="AH66" s="138"/>
      <c r="AI66" s="176" t="s">
        <v>177</v>
      </c>
      <c r="AJ66" s="166">
        <v>2014</v>
      </c>
      <c r="AK66" s="167">
        <v>100211000</v>
      </c>
      <c r="AL66" s="168">
        <v>225000</v>
      </c>
      <c r="AM66" s="989">
        <v>445.3822222222222</v>
      </c>
      <c r="AN66" s="989"/>
      <c r="AO66" s="989"/>
      <c r="AP66" s="989">
        <v>566</v>
      </c>
      <c r="AQ66" s="989"/>
      <c r="AR66" s="990"/>
      <c r="AS66" s="197"/>
      <c r="AT66" s="176" t="s">
        <v>178</v>
      </c>
      <c r="AU66" s="166">
        <v>2013</v>
      </c>
      <c r="AV66" s="167">
        <v>1351000</v>
      </c>
      <c r="AW66" s="168">
        <v>5700</v>
      </c>
      <c r="AX66" s="989">
        <v>237.01754385964912</v>
      </c>
      <c r="AY66" s="989"/>
      <c r="AZ66" s="989"/>
      <c r="BA66" s="989">
        <v>337</v>
      </c>
      <c r="BB66" s="989"/>
      <c r="BC66" s="990"/>
      <c r="BD66" s="138"/>
    </row>
    <row r="67" spans="1:56" ht="16.5" thickBot="1" x14ac:dyDescent="0.3">
      <c r="A67" s="144"/>
      <c r="B67" s="263" t="s">
        <v>16</v>
      </c>
      <c r="C67" s="258">
        <f>62*1.045</f>
        <v>64.789999999999992</v>
      </c>
      <c r="D67" s="253">
        <f>106*1.045</f>
        <v>110.77</v>
      </c>
      <c r="E67" s="140">
        <f>120*1.045</f>
        <v>125.39999999999999</v>
      </c>
      <c r="F67" s="82">
        <f>176*1.045</f>
        <v>183.92</v>
      </c>
      <c r="G67" s="311">
        <f>176*1.045</f>
        <v>183.92</v>
      </c>
      <c r="H67" s="377">
        <v>0.1</v>
      </c>
      <c r="I67" s="143"/>
      <c r="K67" s="144"/>
      <c r="L67" s="263" t="s">
        <v>247</v>
      </c>
      <c r="M67" s="1018"/>
      <c r="N67" s="1019"/>
      <c r="O67" s="743">
        <v>0.3</v>
      </c>
      <c r="P67" s="732">
        <v>0.15</v>
      </c>
      <c r="Q67" s="736">
        <f t="shared" si="0"/>
        <v>0.44999999999999996</v>
      </c>
      <c r="R67" s="735">
        <f t="shared" si="1"/>
        <v>0.33</v>
      </c>
      <c r="S67" s="731">
        <f t="shared" si="2"/>
        <v>0.16500000000000001</v>
      </c>
      <c r="T67" s="736">
        <f t="shared" si="3"/>
        <v>0.495</v>
      </c>
      <c r="U67" s="143"/>
      <c r="AH67" s="138"/>
      <c r="AI67" s="176" t="s">
        <v>179</v>
      </c>
      <c r="AJ67" s="166">
        <v>2003</v>
      </c>
      <c r="AK67" s="167">
        <v>131529000</v>
      </c>
      <c r="AL67" s="168">
        <v>408037</v>
      </c>
      <c r="AM67" s="989">
        <v>322.34576766322664</v>
      </c>
      <c r="AN67" s="989"/>
      <c r="AO67" s="989"/>
      <c r="AP67" s="989">
        <v>430</v>
      </c>
      <c r="AQ67" s="989"/>
      <c r="AR67" s="990"/>
      <c r="AS67" s="197"/>
      <c r="AT67" s="178" t="s">
        <v>180</v>
      </c>
      <c r="AU67" s="179">
        <v>2013</v>
      </c>
      <c r="AV67" s="179"/>
      <c r="AW67" s="179">
        <v>35400</v>
      </c>
      <c r="AX67" s="1012">
        <v>339</v>
      </c>
      <c r="AY67" s="1012"/>
      <c r="AZ67" s="1012"/>
      <c r="BA67" s="1012">
        <v>440.7</v>
      </c>
      <c r="BB67" s="1012"/>
      <c r="BC67" s="1013"/>
      <c r="BD67" s="138"/>
    </row>
    <row r="68" spans="1:56" ht="16.5" thickBot="1" x14ac:dyDescent="0.3">
      <c r="A68" s="144"/>
      <c r="B68" s="263" t="s">
        <v>302</v>
      </c>
      <c r="C68" s="258">
        <f>49*1.045</f>
        <v>51.204999999999998</v>
      </c>
      <c r="D68" s="253">
        <f>85*1.045</f>
        <v>88.824999999999989</v>
      </c>
      <c r="E68" s="140">
        <f>120*1.045</f>
        <v>125.39999999999999</v>
      </c>
      <c r="F68" s="82">
        <f>141*1.045</f>
        <v>147.345</v>
      </c>
      <c r="G68" s="311">
        <f>141*1.045</f>
        <v>147.345</v>
      </c>
      <c r="H68" s="377">
        <v>0.15</v>
      </c>
      <c r="I68" s="143"/>
      <c r="K68" s="144"/>
      <c r="L68" s="263" t="s">
        <v>227</v>
      </c>
      <c r="M68" s="1018"/>
      <c r="N68" s="1019"/>
      <c r="O68" s="743">
        <v>0.3</v>
      </c>
      <c r="P68" s="732">
        <v>0.15</v>
      </c>
      <c r="Q68" s="736">
        <f t="shared" si="0"/>
        <v>0.44999999999999996</v>
      </c>
      <c r="R68" s="735">
        <f t="shared" si="1"/>
        <v>0.33</v>
      </c>
      <c r="S68" s="731">
        <f t="shared" si="2"/>
        <v>0.16500000000000001</v>
      </c>
      <c r="T68" s="736">
        <f t="shared" si="3"/>
        <v>0.495</v>
      </c>
      <c r="U68" s="143"/>
      <c r="AH68" s="138"/>
      <c r="AI68" s="178" t="s">
        <v>181</v>
      </c>
      <c r="AJ68" s="179">
        <v>1998</v>
      </c>
      <c r="AK68" s="180">
        <v>69144000</v>
      </c>
      <c r="AL68" s="181">
        <v>196000</v>
      </c>
      <c r="AM68" s="1012">
        <v>352.77551020408163</v>
      </c>
      <c r="AN68" s="1012"/>
      <c r="AO68" s="1012"/>
      <c r="AP68" s="1012">
        <v>532</v>
      </c>
      <c r="AQ68" s="1012"/>
      <c r="AR68" s="1013"/>
      <c r="AS68" s="197"/>
      <c r="AT68" s="194"/>
      <c r="AU68" s="194"/>
      <c r="AV68" s="194"/>
      <c r="AW68" s="194"/>
      <c r="AX68" s="194"/>
      <c r="AY68" s="198"/>
      <c r="AZ68" s="194"/>
      <c r="BA68" s="194"/>
      <c r="BB68" s="218"/>
      <c r="BC68" s="138"/>
      <c r="BD68" s="138"/>
    </row>
    <row r="69" spans="1:56" ht="16.5" thickBot="1" x14ac:dyDescent="0.3">
      <c r="A69" s="144"/>
      <c r="B69" s="263" t="s">
        <v>0</v>
      </c>
      <c r="C69" s="258">
        <f>99*1.045</f>
        <v>103.455</v>
      </c>
      <c r="D69" s="253">
        <f>170*1.045</f>
        <v>177.64999999999998</v>
      </c>
      <c r="E69" s="140">
        <f>241*1.045</f>
        <v>251.84499999999997</v>
      </c>
      <c r="F69" s="82">
        <f>284*1.045</f>
        <v>296.77999999999997</v>
      </c>
      <c r="G69" s="311">
        <f>284*1.045</f>
        <v>296.77999999999997</v>
      </c>
      <c r="H69" s="377">
        <v>0.05</v>
      </c>
      <c r="I69" s="143"/>
      <c r="K69" s="144"/>
      <c r="L69" s="263" t="s">
        <v>303</v>
      </c>
      <c r="M69" s="1018" t="s">
        <v>568</v>
      </c>
      <c r="N69" s="1019"/>
      <c r="O69" s="743">
        <v>0.31</v>
      </c>
      <c r="P69" s="732">
        <v>0.18</v>
      </c>
      <c r="Q69" s="736">
        <f t="shared" si="0"/>
        <v>0.49</v>
      </c>
      <c r="R69" s="735">
        <f t="shared" si="1"/>
        <v>0.34100000000000003</v>
      </c>
      <c r="S69" s="731">
        <f t="shared" si="2"/>
        <v>0.19800000000000001</v>
      </c>
      <c r="T69" s="736">
        <f t="shared" si="3"/>
        <v>0.53900000000000003</v>
      </c>
      <c r="U69" s="143"/>
      <c r="AH69" s="138"/>
      <c r="AI69" s="194"/>
      <c r="AJ69" s="194"/>
      <c r="AK69" s="198"/>
      <c r="AL69" s="199"/>
      <c r="AM69" s="194"/>
      <c r="AN69" s="200"/>
      <c r="AO69" s="201"/>
      <c r="AP69" s="201"/>
      <c r="AQ69" s="200"/>
      <c r="AR69" s="201"/>
      <c r="AS69" s="197"/>
      <c r="AT69" s="194"/>
      <c r="AU69" s="194"/>
      <c r="AV69" s="198"/>
      <c r="AW69" s="199"/>
      <c r="AX69" s="194"/>
      <c r="AY69" s="218"/>
      <c r="AZ69" s="194"/>
      <c r="BA69" s="194"/>
      <c r="BB69" s="221"/>
      <c r="BC69" s="138"/>
      <c r="BD69" s="138"/>
    </row>
    <row r="70" spans="1:56" ht="16.5" thickBot="1" x14ac:dyDescent="0.3">
      <c r="A70" s="144"/>
      <c r="B70" s="263" t="s">
        <v>303</v>
      </c>
      <c r="C70" s="258">
        <f>40*1.045</f>
        <v>41.8</v>
      </c>
      <c r="D70" s="253">
        <f>69*1.045</f>
        <v>72.10499999999999</v>
      </c>
      <c r="E70" s="140">
        <f>98*1.045</f>
        <v>102.41</v>
      </c>
      <c r="F70" s="82">
        <f>115*1.045</f>
        <v>120.175</v>
      </c>
      <c r="G70" s="311">
        <f>115*1.045</f>
        <v>120.175</v>
      </c>
      <c r="H70" s="377">
        <v>0.2</v>
      </c>
      <c r="I70" s="143"/>
      <c r="K70" s="144"/>
      <c r="L70" s="263" t="s">
        <v>388</v>
      </c>
      <c r="M70" s="1018" t="s">
        <v>569</v>
      </c>
      <c r="N70" s="1019"/>
      <c r="O70" s="743">
        <v>0.28999999999999998</v>
      </c>
      <c r="P70" s="732">
        <v>0.15</v>
      </c>
      <c r="Q70" s="736">
        <f t="shared" si="0"/>
        <v>0.43999999999999995</v>
      </c>
      <c r="R70" s="735">
        <f t="shared" si="1"/>
        <v>0.31900000000000001</v>
      </c>
      <c r="S70" s="731">
        <f t="shared" si="2"/>
        <v>0.16500000000000001</v>
      </c>
      <c r="T70" s="736">
        <f t="shared" si="3"/>
        <v>0.48399999999999999</v>
      </c>
      <c r="U70" s="143"/>
      <c r="AH70" s="138"/>
      <c r="AI70" s="157" t="s">
        <v>122</v>
      </c>
      <c r="AJ70" s="162"/>
      <c r="AK70" s="182"/>
      <c r="AL70" s="183"/>
      <c r="AM70" s="157" t="s">
        <v>229</v>
      </c>
      <c r="AN70" s="202">
        <v>233.32578804951751</v>
      </c>
      <c r="AO70" s="164"/>
      <c r="AP70" s="164"/>
      <c r="AQ70" s="163">
        <v>296.5</v>
      </c>
      <c r="AR70" s="165"/>
      <c r="AS70" s="197"/>
      <c r="AT70" s="157" t="s">
        <v>122</v>
      </c>
      <c r="AU70" s="162"/>
      <c r="AV70" s="182"/>
      <c r="AW70" s="183"/>
      <c r="AX70" s="162" t="s">
        <v>229</v>
      </c>
      <c r="AY70" s="209">
        <v>153.07036925647927</v>
      </c>
      <c r="AZ70" s="162"/>
      <c r="BA70" s="162"/>
      <c r="BB70" s="209">
        <v>224.32499999999999</v>
      </c>
      <c r="BC70" s="204"/>
      <c r="BD70" s="138"/>
    </row>
    <row r="71" spans="1:56" ht="15.75" x14ac:dyDescent="0.25">
      <c r="A71" s="144"/>
      <c r="B71" s="263" t="s">
        <v>227</v>
      </c>
      <c r="C71" s="258">
        <f>40*1.045</f>
        <v>41.8</v>
      </c>
      <c r="D71" s="253">
        <f>69*1.045</f>
        <v>72.10499999999999</v>
      </c>
      <c r="E71" s="140">
        <f>98*1.045</f>
        <v>102.41</v>
      </c>
      <c r="F71" s="82">
        <f>115*1.045</f>
        <v>120.175</v>
      </c>
      <c r="G71" s="311">
        <f>155*1.045</f>
        <v>161.97499999999999</v>
      </c>
      <c r="H71" s="377">
        <v>0</v>
      </c>
      <c r="I71" s="143"/>
      <c r="K71" s="144"/>
      <c r="L71" s="263" t="s">
        <v>250</v>
      </c>
      <c r="M71" s="1018"/>
      <c r="N71" s="1019"/>
      <c r="O71" s="743">
        <v>0.28999999999999998</v>
      </c>
      <c r="P71" s="732">
        <v>0.15</v>
      </c>
      <c r="Q71" s="736">
        <f t="shared" si="0"/>
        <v>0.43999999999999995</v>
      </c>
      <c r="R71" s="735">
        <f t="shared" si="1"/>
        <v>0.31900000000000001</v>
      </c>
      <c r="S71" s="731">
        <f t="shared" si="2"/>
        <v>0.16500000000000001</v>
      </c>
      <c r="T71" s="736">
        <f t="shared" si="3"/>
        <v>0.48399999999999999</v>
      </c>
      <c r="U71" s="143"/>
      <c r="AH71" s="138"/>
      <c r="AI71" s="172" t="s">
        <v>140</v>
      </c>
      <c r="AJ71" s="150"/>
      <c r="AK71" s="151"/>
      <c r="AL71" s="154"/>
      <c r="AM71" s="150"/>
      <c r="AN71" s="173"/>
      <c r="AO71" s="174"/>
      <c r="AP71" s="174"/>
      <c r="AQ71" s="173"/>
      <c r="AR71" s="175"/>
      <c r="AS71" s="197"/>
      <c r="AT71" s="172" t="s">
        <v>140</v>
      </c>
      <c r="AU71" s="150"/>
      <c r="AV71" s="151"/>
      <c r="AW71" s="154"/>
      <c r="AX71" s="150"/>
      <c r="AY71" s="152"/>
      <c r="AZ71" s="150"/>
      <c r="BA71" s="150"/>
      <c r="BB71" s="151"/>
      <c r="BC71" s="214"/>
      <c r="BD71" s="138"/>
    </row>
    <row r="72" spans="1:56" ht="15.75" x14ac:dyDescent="0.25">
      <c r="A72" s="144"/>
      <c r="B72" s="263" t="s">
        <v>388</v>
      </c>
      <c r="C72" s="258">
        <f>77*1.045</f>
        <v>80.464999999999989</v>
      </c>
      <c r="D72" s="253">
        <f>131*1.045</f>
        <v>136.89499999999998</v>
      </c>
      <c r="E72" s="140">
        <f>186*1.045</f>
        <v>194.36999999999998</v>
      </c>
      <c r="F72" s="82">
        <f>219*1.045</f>
        <v>228.85499999999999</v>
      </c>
      <c r="G72" s="311">
        <f>212*1.045</f>
        <v>221.54</v>
      </c>
      <c r="H72" s="377">
        <v>0</v>
      </c>
      <c r="I72" s="143"/>
      <c r="K72" s="144"/>
      <c r="L72" s="263" t="s">
        <v>251</v>
      </c>
      <c r="M72" s="1018"/>
      <c r="N72" s="1019"/>
      <c r="O72" s="743">
        <v>0.28999999999999998</v>
      </c>
      <c r="P72" s="732">
        <v>0.15</v>
      </c>
      <c r="Q72" s="736">
        <f t="shared" si="0"/>
        <v>0.43999999999999995</v>
      </c>
      <c r="R72" s="735">
        <f t="shared" si="1"/>
        <v>0.31900000000000001</v>
      </c>
      <c r="S72" s="731">
        <f t="shared" si="2"/>
        <v>0.16500000000000001</v>
      </c>
      <c r="T72" s="736">
        <f t="shared" si="3"/>
        <v>0.48399999999999999</v>
      </c>
      <c r="U72" s="143"/>
      <c r="AH72" s="138"/>
      <c r="AI72" s="176" t="s">
        <v>182</v>
      </c>
      <c r="AJ72" s="166">
        <v>2007</v>
      </c>
      <c r="AK72" s="167">
        <v>13139978</v>
      </c>
      <c r="AL72" s="168">
        <v>40287</v>
      </c>
      <c r="AM72" s="989">
        <v>326.1592573286668</v>
      </c>
      <c r="AN72" s="989"/>
      <c r="AO72" s="989"/>
      <c r="AP72" s="989">
        <v>388</v>
      </c>
      <c r="AQ72" s="989"/>
      <c r="AR72" s="990"/>
      <c r="AS72" s="197"/>
      <c r="AT72" s="176" t="s">
        <v>183</v>
      </c>
      <c r="AU72" s="166">
        <v>2011</v>
      </c>
      <c r="AV72" s="167">
        <v>1254000</v>
      </c>
      <c r="AW72" s="168">
        <v>8400</v>
      </c>
      <c r="AX72" s="989">
        <v>149</v>
      </c>
      <c r="AY72" s="989"/>
      <c r="AZ72" s="989"/>
      <c r="BA72" s="989">
        <v>291</v>
      </c>
      <c r="BB72" s="989"/>
      <c r="BC72" s="990"/>
      <c r="BD72" s="138"/>
    </row>
    <row r="73" spans="1:56" ht="15.75" x14ac:dyDescent="0.25">
      <c r="A73" s="144"/>
      <c r="B73" s="263" t="s">
        <v>389</v>
      </c>
      <c r="C73" s="258">
        <f>30*1.045</f>
        <v>31.349999999999998</v>
      </c>
      <c r="D73" s="253">
        <f>52*1.045</f>
        <v>54.339999999999996</v>
      </c>
      <c r="E73" s="140">
        <f>73*1.045</f>
        <v>76.284999999999997</v>
      </c>
      <c r="F73" s="82">
        <f>86*1.045</f>
        <v>89.86999999999999</v>
      </c>
      <c r="G73" s="311">
        <f>86*1.045</f>
        <v>89.86999999999999</v>
      </c>
      <c r="H73" s="377"/>
      <c r="I73" s="143"/>
      <c r="K73" s="144"/>
      <c r="L73" s="263" t="s">
        <v>252</v>
      </c>
      <c r="M73" s="1018"/>
      <c r="N73" s="1019"/>
      <c r="O73" s="743">
        <v>0.28999999999999998</v>
      </c>
      <c r="P73" s="732">
        <v>0.15</v>
      </c>
      <c r="Q73" s="736">
        <f t="shared" si="0"/>
        <v>0.43999999999999995</v>
      </c>
      <c r="R73" s="735">
        <f t="shared" si="1"/>
        <v>0.31900000000000001</v>
      </c>
      <c r="S73" s="731">
        <f t="shared" si="2"/>
        <v>0.16500000000000001</v>
      </c>
      <c r="T73" s="736">
        <f t="shared" si="3"/>
        <v>0.48399999999999999</v>
      </c>
      <c r="U73" s="143"/>
      <c r="AH73" s="138"/>
      <c r="AI73" s="176"/>
      <c r="AJ73" s="166"/>
      <c r="AK73" s="167"/>
      <c r="AL73" s="168"/>
      <c r="AM73" s="393"/>
      <c r="AN73" s="393"/>
      <c r="AO73" s="393"/>
      <c r="AP73" s="393"/>
      <c r="AQ73" s="393"/>
      <c r="AR73" s="394"/>
      <c r="AS73" s="197"/>
      <c r="AT73" s="176"/>
      <c r="AU73" s="166"/>
      <c r="AV73" s="167"/>
      <c r="AW73" s="168"/>
      <c r="AX73" s="393"/>
      <c r="AY73" s="393"/>
      <c r="AZ73" s="393"/>
      <c r="BA73" s="393"/>
      <c r="BB73" s="393"/>
      <c r="BC73" s="394"/>
      <c r="BD73" s="138"/>
    </row>
    <row r="74" spans="1:56" ht="15.75" x14ac:dyDescent="0.25">
      <c r="A74" s="144"/>
      <c r="B74" s="263" t="s">
        <v>250</v>
      </c>
      <c r="C74" s="258">
        <f>107*1.045</f>
        <v>111.815</v>
      </c>
      <c r="D74" s="253">
        <f>183*1.045</f>
        <v>191.23499999999999</v>
      </c>
      <c r="E74" s="140">
        <f>259*1.045</f>
        <v>270.65499999999997</v>
      </c>
      <c r="F74" s="82">
        <f>305*1.045</f>
        <v>318.72499999999997</v>
      </c>
      <c r="G74" s="311">
        <f>305*1.045</f>
        <v>318.72499999999997</v>
      </c>
      <c r="H74" s="377">
        <v>0.1</v>
      </c>
      <c r="I74" s="143"/>
      <c r="K74" s="144"/>
      <c r="L74" s="263" t="s">
        <v>253</v>
      </c>
      <c r="M74" s="1018"/>
      <c r="N74" s="1019"/>
      <c r="O74" s="743">
        <v>0.28999999999999998</v>
      </c>
      <c r="P74" s="732">
        <v>0.15</v>
      </c>
      <c r="Q74" s="736">
        <f t="shared" si="0"/>
        <v>0.43999999999999995</v>
      </c>
      <c r="R74" s="735">
        <f t="shared" si="1"/>
        <v>0.31900000000000001</v>
      </c>
      <c r="S74" s="731">
        <f t="shared" si="2"/>
        <v>0.16500000000000001</v>
      </c>
      <c r="T74" s="736">
        <f t="shared" si="3"/>
        <v>0.48399999999999999</v>
      </c>
      <c r="U74" s="143"/>
      <c r="AH74" s="138"/>
      <c r="AI74" s="176" t="s">
        <v>184</v>
      </c>
      <c r="AJ74" s="166">
        <v>1995</v>
      </c>
      <c r="AK74" s="167">
        <v>5271000</v>
      </c>
      <c r="AL74" s="168">
        <v>26074</v>
      </c>
      <c r="AM74" s="989">
        <v>202.15540385057912</v>
      </c>
      <c r="AN74" s="989"/>
      <c r="AO74" s="989"/>
      <c r="AP74" s="989">
        <v>249</v>
      </c>
      <c r="AQ74" s="989"/>
      <c r="AR74" s="990"/>
      <c r="AS74" s="197"/>
      <c r="AT74" s="176" t="s">
        <v>185</v>
      </c>
      <c r="AU74" s="166">
        <v>2013</v>
      </c>
      <c r="AV74" s="167">
        <v>178650</v>
      </c>
      <c r="AW74" s="168">
        <v>1849</v>
      </c>
      <c r="AX74" s="989">
        <v>96.619794483504592</v>
      </c>
      <c r="AY74" s="989"/>
      <c r="AZ74" s="989"/>
      <c r="BA74" s="989">
        <v>107</v>
      </c>
      <c r="BB74" s="989"/>
      <c r="BC74" s="990"/>
      <c r="BD74" s="138"/>
    </row>
    <row r="75" spans="1:56" ht="15.75" x14ac:dyDescent="0.25">
      <c r="A75" s="144"/>
      <c r="B75" s="263" t="s">
        <v>251</v>
      </c>
      <c r="C75" s="258">
        <f>117*1.045</f>
        <v>122.26499999999999</v>
      </c>
      <c r="D75" s="253">
        <f>210*1.045</f>
        <v>219.45</v>
      </c>
      <c r="E75" s="140">
        <f>285*1.045</f>
        <v>297.82499999999999</v>
      </c>
      <c r="F75" s="82">
        <f>335*1.045</f>
        <v>350.07499999999999</v>
      </c>
      <c r="G75" s="311">
        <f>335*1.045</f>
        <v>350.07499999999999</v>
      </c>
      <c r="H75" s="377">
        <v>0.2</v>
      </c>
      <c r="I75" s="143"/>
      <c r="K75" s="144"/>
      <c r="L75" s="263" t="s">
        <v>374</v>
      </c>
      <c r="M75" s="1018"/>
      <c r="N75" s="1019"/>
      <c r="O75" s="743">
        <v>0.28999999999999998</v>
      </c>
      <c r="P75" s="732">
        <v>0.15</v>
      </c>
      <c r="Q75" s="736">
        <f t="shared" si="0"/>
        <v>0.43999999999999995</v>
      </c>
      <c r="R75" s="735">
        <f t="shared" si="1"/>
        <v>0.31900000000000001</v>
      </c>
      <c r="S75" s="731">
        <f t="shared" si="2"/>
        <v>0.16500000000000001</v>
      </c>
      <c r="T75" s="736">
        <f t="shared" si="3"/>
        <v>0.48399999999999999</v>
      </c>
      <c r="U75" s="143"/>
      <c r="AH75" s="138"/>
      <c r="AI75" s="176" t="s">
        <v>186</v>
      </c>
      <c r="AJ75" s="166">
        <v>2001</v>
      </c>
      <c r="AK75" s="167">
        <v>3177000</v>
      </c>
      <c r="AL75" s="168">
        <v>12471</v>
      </c>
      <c r="AM75" s="989">
        <v>254.75102237190282</v>
      </c>
      <c r="AN75" s="989"/>
      <c r="AO75" s="989"/>
      <c r="AP75" s="989">
        <v>299</v>
      </c>
      <c r="AQ75" s="989"/>
      <c r="AR75" s="990"/>
      <c r="AS75" s="197"/>
      <c r="AT75" s="176" t="s">
        <v>187</v>
      </c>
      <c r="AU75" s="166">
        <v>2011</v>
      </c>
      <c r="AV75" s="167">
        <v>964027</v>
      </c>
      <c r="AW75" s="168">
        <v>11800</v>
      </c>
      <c r="AX75" s="989">
        <v>81.697203389830506</v>
      </c>
      <c r="AY75" s="989"/>
      <c r="AZ75" s="989"/>
      <c r="BA75" s="989">
        <v>103</v>
      </c>
      <c r="BB75" s="989"/>
      <c r="BC75" s="990"/>
      <c r="BD75" s="138"/>
    </row>
    <row r="76" spans="1:56" ht="15.75" x14ac:dyDescent="0.25">
      <c r="A76" s="144"/>
      <c r="B76" s="263" t="s">
        <v>252</v>
      </c>
      <c r="C76" s="258">
        <f>128*1.045</f>
        <v>133.76</v>
      </c>
      <c r="D76" s="253">
        <f>220*1.045</f>
        <v>229.89999999999998</v>
      </c>
      <c r="E76" s="140">
        <f>311*1.045</f>
        <v>324.995</v>
      </c>
      <c r="F76" s="82">
        <f>366*1.045</f>
        <v>382.46999999999997</v>
      </c>
      <c r="G76" s="311">
        <f>366*1.045</f>
        <v>382.46999999999997</v>
      </c>
      <c r="H76" s="377">
        <v>0.1</v>
      </c>
      <c r="I76" s="143"/>
      <c r="K76" s="144"/>
      <c r="L76" s="263" t="s">
        <v>256</v>
      </c>
      <c r="M76" s="1018"/>
      <c r="N76" s="1019"/>
      <c r="O76" s="743">
        <v>0.28999999999999998</v>
      </c>
      <c r="P76" s="732">
        <v>0.15</v>
      </c>
      <c r="Q76" s="736">
        <f t="shared" si="0"/>
        <v>0.43999999999999995</v>
      </c>
      <c r="R76" s="735">
        <f t="shared" si="1"/>
        <v>0.31900000000000001</v>
      </c>
      <c r="S76" s="731">
        <f t="shared" si="2"/>
        <v>0.16500000000000001</v>
      </c>
      <c r="T76" s="736">
        <f t="shared" si="3"/>
        <v>0.48399999999999999</v>
      </c>
      <c r="U76" s="143"/>
      <c r="AH76" s="138"/>
      <c r="AI76" s="176" t="s">
        <v>188</v>
      </c>
      <c r="AJ76" s="166">
        <v>1998</v>
      </c>
      <c r="AK76" s="167">
        <v>12541000</v>
      </c>
      <c r="AL76" s="168">
        <v>56705</v>
      </c>
      <c r="AM76" s="989">
        <v>221.16215501278546</v>
      </c>
      <c r="AN76" s="989"/>
      <c r="AO76" s="989"/>
      <c r="AP76" s="989">
        <v>307</v>
      </c>
      <c r="AQ76" s="989"/>
      <c r="AR76" s="990"/>
      <c r="AS76" s="197"/>
      <c r="AT76" s="176" t="s">
        <v>189</v>
      </c>
      <c r="AU76" s="166">
        <v>2013</v>
      </c>
      <c r="AV76" s="167">
        <v>2603500</v>
      </c>
      <c r="AW76" s="168">
        <v>24307</v>
      </c>
      <c r="AX76" s="989">
        <v>107.1090632328136</v>
      </c>
      <c r="AY76" s="989"/>
      <c r="AZ76" s="989"/>
      <c r="BA76" s="989">
        <v>140</v>
      </c>
      <c r="BB76" s="989"/>
      <c r="BC76" s="990"/>
      <c r="BD76" s="138"/>
    </row>
    <row r="77" spans="1:56" ht="15.75" x14ac:dyDescent="0.25">
      <c r="A77" s="144"/>
      <c r="B77" s="263" t="s">
        <v>253</v>
      </c>
      <c r="C77" s="258">
        <f>110*1.045</f>
        <v>114.94999999999999</v>
      </c>
      <c r="D77" s="253">
        <f>188*1.045</f>
        <v>196.45999999999998</v>
      </c>
      <c r="E77" s="140">
        <f>267*1.045</f>
        <v>279.01499999999999</v>
      </c>
      <c r="F77" s="82">
        <f>314*1.045</f>
        <v>328.13</v>
      </c>
      <c r="G77" s="311">
        <f>314*1.045</f>
        <v>328.13</v>
      </c>
      <c r="H77" s="377">
        <v>0.12</v>
      </c>
      <c r="I77" s="143"/>
      <c r="K77" s="144"/>
      <c r="L77" s="263" t="s">
        <v>0</v>
      </c>
      <c r="M77" s="1018" t="s">
        <v>570</v>
      </c>
      <c r="N77" s="1019"/>
      <c r="O77" s="743">
        <v>0.22</v>
      </c>
      <c r="P77" s="732">
        <v>0.13</v>
      </c>
      <c r="Q77" s="736">
        <f t="shared" si="0"/>
        <v>0.35</v>
      </c>
      <c r="R77" s="735">
        <f t="shared" si="1"/>
        <v>0.24200000000000002</v>
      </c>
      <c r="S77" s="731">
        <f t="shared" si="2"/>
        <v>0.14300000000000002</v>
      </c>
      <c r="T77" s="736">
        <f t="shared" si="3"/>
        <v>0.38500000000000001</v>
      </c>
      <c r="U77" s="143"/>
      <c r="AH77" s="138"/>
      <c r="AI77" s="176" t="s">
        <v>190</v>
      </c>
      <c r="AJ77" s="166">
        <v>1998</v>
      </c>
      <c r="AK77" s="167">
        <v>12976000</v>
      </c>
      <c r="AL77" s="168">
        <v>63801</v>
      </c>
      <c r="AM77" s="989">
        <v>203.38239212551528</v>
      </c>
      <c r="AN77" s="989"/>
      <c r="AO77" s="989"/>
      <c r="AP77" s="989">
        <v>255</v>
      </c>
      <c r="AQ77" s="989"/>
      <c r="AR77" s="990"/>
      <c r="AS77" s="197"/>
      <c r="AT77" s="176" t="s">
        <v>191</v>
      </c>
      <c r="AU77" s="166">
        <v>2010</v>
      </c>
      <c r="AV77" s="167">
        <v>180000</v>
      </c>
      <c r="AW77" s="168">
        <v>1160</v>
      </c>
      <c r="AX77" s="989">
        <v>155.17241379310346</v>
      </c>
      <c r="AY77" s="989"/>
      <c r="AZ77" s="989"/>
      <c r="BA77" s="989">
        <v>205</v>
      </c>
      <c r="BB77" s="989"/>
      <c r="BC77" s="990"/>
      <c r="BD77" s="138"/>
    </row>
    <row r="78" spans="1:56" ht="15" customHeight="1" thickBot="1" x14ac:dyDescent="0.3">
      <c r="A78" s="144"/>
      <c r="B78" s="263" t="s">
        <v>374</v>
      </c>
      <c r="C78" s="258">
        <f>84*1.045</f>
        <v>87.78</v>
      </c>
      <c r="D78" s="253">
        <f>145*1.045</f>
        <v>151.52499999999998</v>
      </c>
      <c r="E78" s="140">
        <f>205*1.045</f>
        <v>214.22499999999999</v>
      </c>
      <c r="F78" s="82">
        <f>241*1.045</f>
        <v>251.84499999999997</v>
      </c>
      <c r="G78" s="311">
        <f>241*1.045</f>
        <v>251.84499999999997</v>
      </c>
      <c r="H78" s="377">
        <v>0.15</v>
      </c>
      <c r="I78" s="143"/>
      <c r="K78" s="144"/>
      <c r="L78" s="264" t="s">
        <v>302</v>
      </c>
      <c r="M78" s="1020" t="s">
        <v>571</v>
      </c>
      <c r="N78" s="1021"/>
      <c r="O78" s="744">
        <v>0.15</v>
      </c>
      <c r="P78" s="745">
        <v>0.05</v>
      </c>
      <c r="Q78" s="737">
        <f t="shared" si="0"/>
        <v>0.2</v>
      </c>
      <c r="R78" s="735">
        <f t="shared" si="1"/>
        <v>0.16500000000000001</v>
      </c>
      <c r="S78" s="731">
        <f t="shared" si="2"/>
        <v>5.5000000000000007E-2</v>
      </c>
      <c r="T78" s="736">
        <f t="shared" si="3"/>
        <v>0.22000000000000003</v>
      </c>
      <c r="U78" s="143"/>
      <c r="AH78" s="138"/>
      <c r="AI78" s="178" t="s">
        <v>192</v>
      </c>
      <c r="AJ78" s="179">
        <v>2008</v>
      </c>
      <c r="AK78" s="180">
        <v>24120000</v>
      </c>
      <c r="AL78" s="181">
        <v>125400</v>
      </c>
      <c r="AM78" s="1012">
        <v>192.34449760765551</v>
      </c>
      <c r="AN78" s="1012"/>
      <c r="AO78" s="1012"/>
      <c r="AP78" s="1012">
        <v>281</v>
      </c>
      <c r="AQ78" s="1012"/>
      <c r="AR78" s="1013"/>
      <c r="AS78" s="197"/>
      <c r="AT78" s="178" t="s">
        <v>193</v>
      </c>
      <c r="AU78" s="179"/>
      <c r="AV78" s="180"/>
      <c r="AW78" s="181">
        <v>37000</v>
      </c>
      <c r="AX78" s="1012">
        <v>201</v>
      </c>
      <c r="AY78" s="1012"/>
      <c r="AZ78" s="1012"/>
      <c r="BA78" s="1012">
        <v>261.3</v>
      </c>
      <c r="BB78" s="1012"/>
      <c r="BC78" s="1013"/>
      <c r="BD78" s="138"/>
    </row>
    <row r="79" spans="1:56" ht="15.75" customHeight="1" thickBot="1" x14ac:dyDescent="0.3">
      <c r="A79" s="144"/>
      <c r="B79" s="263" t="s">
        <v>255</v>
      </c>
      <c r="C79" s="258">
        <f>62*1.045</f>
        <v>64.789999999999992</v>
      </c>
      <c r="D79" s="253">
        <f>107*1.045</f>
        <v>111.815</v>
      </c>
      <c r="E79" s="140">
        <f>151*1.045</f>
        <v>157.79499999999999</v>
      </c>
      <c r="F79" s="82">
        <f>178*1.045</f>
        <v>186.01</v>
      </c>
      <c r="G79" s="311">
        <f>178*1.045</f>
        <v>186.01</v>
      </c>
      <c r="H79" s="377">
        <v>0.08</v>
      </c>
      <c r="I79" s="143"/>
      <c r="K79" s="145"/>
      <c r="L79" s="146"/>
      <c r="M79" s="146"/>
      <c r="N79" s="146"/>
      <c r="O79" s="146"/>
      <c r="P79" s="146"/>
      <c r="Q79" s="146"/>
      <c r="R79" s="146"/>
      <c r="S79" s="146"/>
      <c r="T79" s="146"/>
      <c r="U79" s="147"/>
      <c r="AH79" s="138"/>
      <c r="AI79" s="194"/>
      <c r="AJ79" s="194"/>
      <c r="AK79" s="198"/>
      <c r="AL79" s="199"/>
      <c r="AM79" s="194"/>
      <c r="AN79" s="200"/>
      <c r="AO79" s="201"/>
      <c r="AP79" s="201"/>
      <c r="AQ79" s="200"/>
      <c r="AR79" s="201"/>
      <c r="AS79" s="197"/>
      <c r="AT79" s="194"/>
      <c r="AU79" s="194"/>
      <c r="AV79" s="198"/>
      <c r="AW79" s="199"/>
      <c r="AX79" s="194"/>
      <c r="AY79" s="218"/>
      <c r="AZ79" s="194"/>
      <c r="BA79" s="194"/>
      <c r="BB79" s="221"/>
      <c r="BC79" s="138"/>
      <c r="BD79" s="138"/>
    </row>
    <row r="80" spans="1:56" ht="16.5" thickBot="1" x14ac:dyDescent="0.3">
      <c r="A80" s="144"/>
      <c r="B80" s="264" t="s">
        <v>256</v>
      </c>
      <c r="C80" s="259">
        <f>116*1.045</f>
        <v>121.22</v>
      </c>
      <c r="D80" s="260">
        <f>199*1.045</f>
        <v>207.95499999999998</v>
      </c>
      <c r="E80" s="141">
        <f>281*1.045</f>
        <v>293.64499999999998</v>
      </c>
      <c r="F80" s="83">
        <f>331*1.045</f>
        <v>345.89499999999998</v>
      </c>
      <c r="G80" s="312">
        <f>331*1.045</f>
        <v>345.89499999999998</v>
      </c>
      <c r="H80" s="378">
        <v>0.15</v>
      </c>
      <c r="I80" s="143"/>
      <c r="AH80" s="138"/>
      <c r="AI80" s="157" t="s">
        <v>194</v>
      </c>
      <c r="AJ80" s="162"/>
      <c r="AK80" s="182"/>
      <c r="AL80" s="183"/>
      <c r="AM80" s="157" t="s">
        <v>229</v>
      </c>
      <c r="AN80" s="202">
        <v>431.3163580246914</v>
      </c>
      <c r="AO80" s="164"/>
      <c r="AP80" s="164"/>
      <c r="AQ80" s="163">
        <v>553.33333333333337</v>
      </c>
      <c r="AR80" s="165"/>
      <c r="AS80" s="197"/>
      <c r="AT80" s="157" t="s">
        <v>194</v>
      </c>
      <c r="AU80" s="162"/>
      <c r="AV80" s="182"/>
      <c r="AW80" s="183"/>
      <c r="AX80" s="162" t="s">
        <v>229</v>
      </c>
      <c r="AY80" s="209">
        <v>273.63469629912925</v>
      </c>
      <c r="AZ80" s="162"/>
      <c r="BA80" s="162"/>
      <c r="BB80" s="209">
        <v>346.52499999999998</v>
      </c>
      <c r="BC80" s="204"/>
      <c r="BD80" s="138"/>
    </row>
    <row r="81" spans="1:56" ht="15.75" thickBot="1" x14ac:dyDescent="0.3">
      <c r="A81" s="145"/>
      <c r="B81" s="146"/>
      <c r="C81" s="146"/>
      <c r="D81" s="146"/>
      <c r="E81" s="146"/>
      <c r="F81" s="146"/>
      <c r="G81" s="146"/>
      <c r="H81" s="146"/>
      <c r="I81" s="147"/>
      <c r="M81" s="722" t="s">
        <v>574</v>
      </c>
      <c r="N81" s="724" t="s">
        <v>576</v>
      </c>
      <c r="O81" s="726"/>
      <c r="P81" s="727"/>
      <c r="Q81" s="727"/>
      <c r="R81" s="727"/>
      <c r="S81" s="727"/>
      <c r="T81" s="727"/>
      <c r="U81" s="727"/>
      <c r="V81" s="727"/>
      <c r="AH81" s="138"/>
      <c r="AI81" s="172" t="s">
        <v>140</v>
      </c>
      <c r="AJ81" s="150"/>
      <c r="AK81" s="151"/>
      <c r="AL81" s="154"/>
      <c r="AM81" s="150"/>
      <c r="AN81" s="173"/>
      <c r="AO81" s="174"/>
      <c r="AP81" s="174"/>
      <c r="AQ81" s="173"/>
      <c r="AR81" s="175"/>
      <c r="AS81" s="197"/>
      <c r="AT81" s="172" t="s">
        <v>140</v>
      </c>
      <c r="AU81" s="150"/>
      <c r="AV81" s="151"/>
      <c r="AW81" s="154"/>
      <c r="AX81" s="150"/>
      <c r="AY81" s="152"/>
      <c r="AZ81" s="150"/>
      <c r="BA81" s="150"/>
      <c r="BB81" s="151"/>
      <c r="BC81" s="214"/>
      <c r="BD81" s="138"/>
    </row>
    <row r="82" spans="1:56" ht="30.75" thickBot="1" x14ac:dyDescent="0.3">
      <c r="A82" s="426" t="s">
        <v>406</v>
      </c>
      <c r="M82" s="723" t="s">
        <v>575</v>
      </c>
      <c r="N82" s="725" t="s">
        <v>577</v>
      </c>
      <c r="O82" s="726"/>
      <c r="P82" s="727"/>
      <c r="Q82" s="727"/>
      <c r="R82" s="727"/>
      <c r="S82" s="727"/>
      <c r="T82" s="727"/>
      <c r="U82" s="727"/>
      <c r="V82" s="727"/>
      <c r="AH82" s="138"/>
      <c r="AI82" s="176" t="s">
        <v>195</v>
      </c>
      <c r="AJ82" s="166">
        <v>2014</v>
      </c>
      <c r="AK82" s="167">
        <v>474065000</v>
      </c>
      <c r="AL82" s="168">
        <v>1080000</v>
      </c>
      <c r="AM82" s="989">
        <v>438.94907407407408</v>
      </c>
      <c r="AN82" s="989"/>
      <c r="AO82" s="989"/>
      <c r="AP82" s="989">
        <v>548</v>
      </c>
      <c r="AQ82" s="989"/>
      <c r="AR82" s="990"/>
      <c r="AS82" s="197"/>
      <c r="AT82" s="176" t="s">
        <v>196</v>
      </c>
      <c r="AU82" s="166">
        <v>2002</v>
      </c>
      <c r="AV82" s="167">
        <v>11621000</v>
      </c>
      <c r="AW82" s="168">
        <v>42000</v>
      </c>
      <c r="AX82" s="989">
        <v>276.6904761904762</v>
      </c>
      <c r="AY82" s="989"/>
      <c r="AZ82" s="989"/>
      <c r="BA82" s="989">
        <v>321</v>
      </c>
      <c r="BB82" s="989"/>
      <c r="BC82" s="990"/>
      <c r="BD82" s="138"/>
    </row>
    <row r="83" spans="1:56" ht="16.5" thickBot="1" x14ac:dyDescent="0.3">
      <c r="A83" s="148"/>
      <c r="B83" s="149"/>
      <c r="C83" s="149"/>
      <c r="D83" s="149"/>
      <c r="E83" s="149"/>
      <c r="F83" s="149"/>
      <c r="G83" s="149"/>
      <c r="H83" s="149"/>
      <c r="I83" s="142"/>
      <c r="J83" s="427"/>
      <c r="AH83" s="138"/>
      <c r="AI83" s="176" t="s">
        <v>197</v>
      </c>
      <c r="AJ83" s="166">
        <v>2003</v>
      </c>
      <c r="AK83" s="167">
        <v>65768000</v>
      </c>
      <c r="AL83" s="168">
        <v>227123</v>
      </c>
      <c r="AM83" s="989">
        <v>289.56996869537653</v>
      </c>
      <c r="AN83" s="989"/>
      <c r="AO83" s="989"/>
      <c r="AP83" s="989">
        <v>418</v>
      </c>
      <c r="AQ83" s="989"/>
      <c r="AR83" s="990"/>
      <c r="AS83" s="197"/>
      <c r="AT83" s="176" t="s">
        <v>198</v>
      </c>
      <c r="AU83" s="166">
        <v>2009</v>
      </c>
      <c r="AV83" s="167">
        <v>2016499</v>
      </c>
      <c r="AW83" s="168">
        <v>9105</v>
      </c>
      <c r="AX83" s="989">
        <v>221.47160900604064</v>
      </c>
      <c r="AY83" s="989"/>
      <c r="AZ83" s="989"/>
      <c r="BA83" s="989">
        <v>299</v>
      </c>
      <c r="BB83" s="989"/>
      <c r="BC83" s="990"/>
      <c r="BD83" s="138"/>
    </row>
    <row r="84" spans="1:56" ht="15" x14ac:dyDescent="0.25">
      <c r="A84" s="144"/>
      <c r="B84" s="979" t="s">
        <v>563</v>
      </c>
      <c r="C84" s="980"/>
      <c r="D84" s="980"/>
      <c r="E84" s="980"/>
      <c r="F84" s="980"/>
      <c r="G84" s="980"/>
      <c r="H84" s="981"/>
      <c r="I84" s="143"/>
      <c r="U84" s="692"/>
      <c r="V84" s="692"/>
      <c r="W84" s="691"/>
      <c r="X84" s="690"/>
      <c r="Y84" s="690"/>
      <c r="AH84" s="138"/>
      <c r="AI84" s="176" t="s">
        <v>199</v>
      </c>
      <c r="AJ84" s="166">
        <v>1998</v>
      </c>
      <c r="AK84" s="167">
        <v>34705000</v>
      </c>
      <c r="AL84" s="168">
        <v>133860</v>
      </c>
      <c r="AM84" s="989">
        <v>259.26340953234723</v>
      </c>
      <c r="AN84" s="989"/>
      <c r="AO84" s="989"/>
      <c r="AP84" s="989">
        <v>317</v>
      </c>
      <c r="AQ84" s="989"/>
      <c r="AR84" s="990"/>
      <c r="AS84" s="197"/>
      <c r="AT84" s="176" t="s">
        <v>200</v>
      </c>
      <c r="AU84" s="166">
        <v>2008</v>
      </c>
      <c r="AV84" s="167">
        <v>2693767</v>
      </c>
      <c r="AW84" s="168">
        <v>10000</v>
      </c>
      <c r="AX84" s="989">
        <v>269.37670000000003</v>
      </c>
      <c r="AY84" s="989"/>
      <c r="AZ84" s="989"/>
      <c r="BA84" s="989">
        <v>341</v>
      </c>
      <c r="BB84" s="989"/>
      <c r="BC84" s="990"/>
      <c r="BD84" s="138"/>
    </row>
    <row r="85" spans="1:56" ht="15.75" thickBot="1" x14ac:dyDescent="0.3">
      <c r="A85" s="144"/>
      <c r="B85" s="985"/>
      <c r="C85" s="986"/>
      <c r="D85" s="986"/>
      <c r="E85" s="986"/>
      <c r="F85" s="986"/>
      <c r="G85" s="986"/>
      <c r="H85" s="987"/>
      <c r="I85" s="143"/>
      <c r="AH85" s="138"/>
      <c r="AI85" s="176" t="s">
        <v>201</v>
      </c>
      <c r="AJ85" s="166">
        <v>2013</v>
      </c>
      <c r="AK85" s="167"/>
      <c r="AL85" s="168"/>
      <c r="AM85" s="989">
        <v>382</v>
      </c>
      <c r="AN85" s="989"/>
      <c r="AO85" s="989"/>
      <c r="AP85" s="989">
        <v>497</v>
      </c>
      <c r="AQ85" s="989"/>
      <c r="AR85" s="990"/>
      <c r="AS85" s="197"/>
      <c r="AT85" s="176" t="s">
        <v>202</v>
      </c>
      <c r="AU85" s="166">
        <v>2010</v>
      </c>
      <c r="AV85" s="167">
        <v>2865000</v>
      </c>
      <c r="AW85" s="168">
        <v>22600</v>
      </c>
      <c r="AX85" s="989">
        <v>126.76991150442478</v>
      </c>
      <c r="AY85" s="989"/>
      <c r="AZ85" s="989"/>
      <c r="BA85" s="989">
        <v>185</v>
      </c>
      <c r="BB85" s="989"/>
      <c r="BC85" s="990"/>
      <c r="BD85" s="138"/>
    </row>
    <row r="86" spans="1:56" ht="15.75" thickBot="1" x14ac:dyDescent="0.3">
      <c r="A86" s="144"/>
      <c r="B86" s="138"/>
      <c r="C86" s="138"/>
      <c r="D86" s="138"/>
      <c r="E86" s="138"/>
      <c r="F86" s="138"/>
      <c r="G86" s="138"/>
      <c r="H86" s="138"/>
      <c r="I86" s="143"/>
      <c r="U86" s="692"/>
      <c r="V86" s="692"/>
      <c r="W86" s="691"/>
      <c r="X86" s="690"/>
      <c r="Y86" s="690"/>
      <c r="AH86" s="138"/>
      <c r="AI86" s="178" t="s">
        <v>203</v>
      </c>
      <c r="AJ86" s="179">
        <v>2013</v>
      </c>
      <c r="AK86" s="180"/>
      <c r="AL86" s="181">
        <v>36260</v>
      </c>
      <c r="AM86" s="1012">
        <v>473</v>
      </c>
      <c r="AN86" s="1012"/>
      <c r="AO86" s="1012"/>
      <c r="AP86" s="1012">
        <v>615</v>
      </c>
      <c r="AQ86" s="1012"/>
      <c r="AR86" s="1013"/>
      <c r="AS86" s="197"/>
      <c r="AT86" s="176" t="s">
        <v>204</v>
      </c>
      <c r="AU86" s="166"/>
      <c r="AV86" s="167"/>
      <c r="AW86" s="168"/>
      <c r="AX86" s="989">
        <v>327</v>
      </c>
      <c r="AY86" s="989"/>
      <c r="AZ86" s="989"/>
      <c r="BA86" s="989">
        <v>425.1</v>
      </c>
      <c r="BB86" s="989"/>
      <c r="BC86" s="990"/>
      <c r="BD86" s="138"/>
    </row>
    <row r="87" spans="1:56" ht="15.75" thickBot="1" x14ac:dyDescent="0.3">
      <c r="A87" s="144"/>
      <c r="B87" s="380"/>
      <c r="C87" s="995" t="s">
        <v>107</v>
      </c>
      <c r="D87" s="995"/>
      <c r="E87" s="995"/>
      <c r="F87" s="995"/>
      <c r="G87" s="995"/>
      <c r="H87" s="996"/>
      <c r="I87" s="143"/>
      <c r="AH87" s="138"/>
      <c r="AI87" s="194"/>
      <c r="AJ87" s="194"/>
      <c r="AK87" s="198"/>
      <c r="AL87" s="199"/>
      <c r="AM87" s="194"/>
      <c r="AN87" s="200"/>
      <c r="AO87" s="201"/>
      <c r="AP87" s="201"/>
      <c r="AQ87" s="200"/>
      <c r="AR87" s="201"/>
      <c r="AS87" s="197"/>
      <c r="AT87" s="178" t="s">
        <v>205</v>
      </c>
      <c r="AU87" s="179"/>
      <c r="AV87" s="180"/>
      <c r="AW87" s="181"/>
      <c r="AX87" s="1012">
        <v>145</v>
      </c>
      <c r="AY87" s="1012"/>
      <c r="AZ87" s="1012"/>
      <c r="BA87" s="1012">
        <v>188.5</v>
      </c>
      <c r="BB87" s="1012"/>
      <c r="BC87" s="1013"/>
      <c r="BD87" s="138"/>
    </row>
    <row r="88" spans="1:56" ht="15.75" thickBot="1" x14ac:dyDescent="0.3">
      <c r="A88" s="144"/>
      <c r="B88" s="381"/>
      <c r="C88" s="1001" t="s">
        <v>4</v>
      </c>
      <c r="D88" s="1014"/>
      <c r="E88" s="1014"/>
      <c r="F88" s="1014"/>
      <c r="G88" s="1014"/>
      <c r="H88" s="1015"/>
      <c r="I88" s="143"/>
      <c r="AH88" s="138"/>
      <c r="AI88" s="194"/>
      <c r="AJ88" s="194"/>
      <c r="AK88" s="198"/>
      <c r="AL88" s="199"/>
      <c r="AM88" s="194"/>
      <c r="AN88" s="200"/>
      <c r="AO88" s="201"/>
      <c r="AP88" s="201"/>
      <c r="AQ88" s="200"/>
      <c r="AR88" s="201"/>
      <c r="AS88" s="197"/>
      <c r="AT88" s="194"/>
      <c r="AU88" s="194"/>
      <c r="AV88" s="198"/>
      <c r="AW88" s="199"/>
      <c r="AX88" s="194"/>
      <c r="AY88" s="218"/>
      <c r="AZ88" s="194"/>
      <c r="BA88" s="194"/>
      <c r="BB88" s="218"/>
      <c r="BC88" s="138"/>
      <c r="BD88" s="138"/>
    </row>
    <row r="89" spans="1:56" ht="15.75" thickBot="1" x14ac:dyDescent="0.3">
      <c r="A89" s="144"/>
      <c r="B89" s="296" t="s">
        <v>136</v>
      </c>
      <c r="C89" s="254" t="s">
        <v>257</v>
      </c>
      <c r="D89" s="255" t="s">
        <v>258</v>
      </c>
      <c r="E89" s="256" t="s">
        <v>259</v>
      </c>
      <c r="F89" s="307" t="s">
        <v>260</v>
      </c>
      <c r="G89" s="301"/>
      <c r="H89" s="302"/>
      <c r="I89" s="143"/>
      <c r="AH89" s="138"/>
      <c r="AI89" s="157" t="s">
        <v>16</v>
      </c>
      <c r="AJ89" s="162"/>
      <c r="AK89" s="182"/>
      <c r="AL89" s="183"/>
      <c r="AM89" s="157" t="s">
        <v>229</v>
      </c>
      <c r="AN89" s="202">
        <v>298</v>
      </c>
      <c r="AO89" s="164"/>
      <c r="AP89" s="164"/>
      <c r="AQ89" s="163">
        <v>387.40000000000003</v>
      </c>
      <c r="AR89" s="165"/>
      <c r="AS89" s="197"/>
      <c r="AT89" s="157" t="s">
        <v>16</v>
      </c>
      <c r="AU89" s="162"/>
      <c r="AV89" s="182"/>
      <c r="AW89" s="183"/>
      <c r="AX89" s="162" t="s">
        <v>229</v>
      </c>
      <c r="AY89" s="209">
        <v>199.21794305094517</v>
      </c>
      <c r="AZ89" s="162"/>
      <c r="BA89" s="162"/>
      <c r="BB89" s="209">
        <v>325.45</v>
      </c>
      <c r="BC89" s="204"/>
      <c r="BD89" s="138"/>
    </row>
    <row r="90" spans="1:56" ht="15.75" x14ac:dyDescent="0.25">
      <c r="A90" s="144"/>
      <c r="B90" s="298" t="s">
        <v>240</v>
      </c>
      <c r="C90" s="258">
        <f>105*1.045</f>
        <v>109.72499999999999</v>
      </c>
      <c r="D90" s="253">
        <f>(F90-C90)/3+C90</f>
        <v>116.69166666666666</v>
      </c>
      <c r="E90" s="140">
        <f>(2*(F90-C90)/3)+C90</f>
        <v>123.65833333333333</v>
      </c>
      <c r="F90" s="308">
        <f>125*1.045</f>
        <v>130.625</v>
      </c>
      <c r="G90" s="303"/>
      <c r="H90" s="304"/>
      <c r="I90" s="143"/>
      <c r="AH90" s="138"/>
      <c r="AI90" s="172" t="s">
        <v>140</v>
      </c>
      <c r="AJ90" s="150"/>
      <c r="AK90" s="151"/>
      <c r="AL90" s="154"/>
      <c r="AM90" s="150"/>
      <c r="AN90" s="173"/>
      <c r="AO90" s="174"/>
      <c r="AP90" s="174"/>
      <c r="AQ90" s="173"/>
      <c r="AR90" s="175"/>
      <c r="AS90" s="197"/>
      <c r="AT90" s="172" t="s">
        <v>140</v>
      </c>
      <c r="AU90" s="150"/>
      <c r="AV90" s="151"/>
      <c r="AW90" s="154"/>
      <c r="AX90" s="150"/>
      <c r="AY90" s="152"/>
      <c r="AZ90" s="150"/>
      <c r="BA90" s="150"/>
      <c r="BB90" s="151"/>
      <c r="BC90" s="214"/>
      <c r="BD90" s="138"/>
    </row>
    <row r="91" spans="1:56" ht="16.5" thickBot="1" x14ac:dyDescent="0.3">
      <c r="A91" s="144"/>
      <c r="B91" s="299" t="s">
        <v>241</v>
      </c>
      <c r="C91" s="258">
        <f>105*1.045</f>
        <v>109.72499999999999</v>
      </c>
      <c r="D91" s="253">
        <f t="shared" ref="D91:D99" si="4">(F91-C91)/3+C91</f>
        <v>116.69166666666666</v>
      </c>
      <c r="E91" s="140">
        <f t="shared" ref="E91:E99" si="5">(2*(F91-C91)/3)+C91</f>
        <v>123.65833333333333</v>
      </c>
      <c r="F91" s="308">
        <f>125*1.045</f>
        <v>130.625</v>
      </c>
      <c r="G91" s="303"/>
      <c r="H91" s="304"/>
      <c r="I91" s="143"/>
      <c r="AH91" s="138"/>
      <c r="AI91" s="191" t="s">
        <v>206</v>
      </c>
      <c r="AJ91" s="179"/>
      <c r="AK91" s="180"/>
      <c r="AL91" s="181"/>
      <c r="AM91" s="1012">
        <v>298</v>
      </c>
      <c r="AN91" s="1012"/>
      <c r="AO91" s="1012"/>
      <c r="AP91" s="1012">
        <v>387.40000000000003</v>
      </c>
      <c r="AQ91" s="1012"/>
      <c r="AR91" s="1013"/>
      <c r="AS91" s="197"/>
      <c r="AT91" s="176" t="s">
        <v>207</v>
      </c>
      <c r="AU91" s="166">
        <v>2011</v>
      </c>
      <c r="AV91" s="167">
        <v>1149123</v>
      </c>
      <c r="AW91" s="168">
        <v>23000</v>
      </c>
      <c r="AX91" s="989">
        <v>49.961869565217391</v>
      </c>
      <c r="AY91" s="989"/>
      <c r="AZ91" s="989"/>
      <c r="BA91" s="989">
        <v>100</v>
      </c>
      <c r="BB91" s="989"/>
      <c r="BC91" s="990"/>
      <c r="BD91" s="138"/>
    </row>
    <row r="92" spans="1:56" ht="15.75" x14ac:dyDescent="0.25">
      <c r="A92" s="144"/>
      <c r="B92" s="299" t="s">
        <v>242</v>
      </c>
      <c r="C92" s="258">
        <f t="shared" ref="C92:C97" si="6">120*1.045</f>
        <v>125.39999999999999</v>
      </c>
      <c r="D92" s="253">
        <f t="shared" si="4"/>
        <v>132.36666666666665</v>
      </c>
      <c r="E92" s="140">
        <f t="shared" si="5"/>
        <v>139.33333333333331</v>
      </c>
      <c r="F92" s="308">
        <f t="shared" ref="F92:F97" si="7">140*1.045</f>
        <v>146.29999999999998</v>
      </c>
      <c r="G92" s="303"/>
      <c r="H92" s="304"/>
      <c r="I92" s="143"/>
      <c r="AH92" s="138"/>
      <c r="AI92" s="194"/>
      <c r="AJ92" s="194"/>
      <c r="AK92" s="198"/>
      <c r="AL92" s="199"/>
      <c r="AM92" s="194"/>
      <c r="AN92" s="200"/>
      <c r="AO92" s="201"/>
      <c r="AP92" s="201"/>
      <c r="AQ92" s="200"/>
      <c r="AR92" s="201"/>
      <c r="AS92" s="197"/>
      <c r="AT92" s="176" t="s">
        <v>208</v>
      </c>
      <c r="AU92" s="166">
        <v>2008</v>
      </c>
      <c r="AV92" s="167">
        <v>372704</v>
      </c>
      <c r="AW92" s="168">
        <v>5279</v>
      </c>
      <c r="AX92" s="989">
        <v>70.601250236787266</v>
      </c>
      <c r="AY92" s="989"/>
      <c r="AZ92" s="989"/>
      <c r="BA92" s="989">
        <v>235</v>
      </c>
      <c r="BB92" s="989"/>
      <c r="BC92" s="990"/>
      <c r="BD92" s="138"/>
    </row>
    <row r="93" spans="1:56" ht="15.75" x14ac:dyDescent="0.25">
      <c r="A93" s="144"/>
      <c r="B93" s="299" t="s">
        <v>243</v>
      </c>
      <c r="C93" s="258">
        <f t="shared" si="6"/>
        <v>125.39999999999999</v>
      </c>
      <c r="D93" s="253">
        <f t="shared" si="4"/>
        <v>132.36666666666665</v>
      </c>
      <c r="E93" s="140">
        <f t="shared" si="5"/>
        <v>139.33333333333331</v>
      </c>
      <c r="F93" s="308">
        <f t="shared" si="7"/>
        <v>146.29999999999998</v>
      </c>
      <c r="G93" s="303"/>
      <c r="H93" s="304"/>
      <c r="I93" s="143"/>
      <c r="AH93" s="138"/>
      <c r="AI93" s="194"/>
      <c r="AJ93" s="194"/>
      <c r="AK93" s="198"/>
      <c r="AL93" s="199"/>
      <c r="AM93" s="194"/>
      <c r="AN93" s="200"/>
      <c r="AO93" s="201"/>
      <c r="AP93" s="201"/>
      <c r="AQ93" s="200"/>
      <c r="AR93" s="201"/>
      <c r="AS93" s="197"/>
      <c r="AT93" s="176" t="s">
        <v>209</v>
      </c>
      <c r="AU93" s="166">
        <v>2012</v>
      </c>
      <c r="AV93" s="167">
        <v>22681000</v>
      </c>
      <c r="AW93" s="168">
        <v>128359</v>
      </c>
      <c r="AX93" s="989">
        <v>176.69972499006693</v>
      </c>
      <c r="AY93" s="989"/>
      <c r="AZ93" s="989"/>
      <c r="BA93" s="989">
        <v>249</v>
      </c>
      <c r="BB93" s="989"/>
      <c r="BC93" s="990"/>
      <c r="BD93" s="138"/>
    </row>
    <row r="94" spans="1:56" ht="15.75" x14ac:dyDescent="0.25">
      <c r="A94" s="144"/>
      <c r="B94" s="299" t="s">
        <v>244</v>
      </c>
      <c r="C94" s="258">
        <f t="shared" si="6"/>
        <v>125.39999999999999</v>
      </c>
      <c r="D94" s="253">
        <f t="shared" si="4"/>
        <v>132.36666666666665</v>
      </c>
      <c r="E94" s="140">
        <f t="shared" si="5"/>
        <v>139.33333333333331</v>
      </c>
      <c r="F94" s="308">
        <f t="shared" si="7"/>
        <v>146.29999999999998</v>
      </c>
      <c r="G94" s="303"/>
      <c r="H94" s="304"/>
      <c r="I94" s="143"/>
      <c r="AH94" s="138"/>
      <c r="AI94" s="194"/>
      <c r="AJ94" s="194"/>
      <c r="AK94" s="198"/>
      <c r="AL94" s="199"/>
      <c r="AM94" s="194"/>
      <c r="AN94" s="200"/>
      <c r="AO94" s="201"/>
      <c r="AP94" s="201"/>
      <c r="AQ94" s="200"/>
      <c r="AR94" s="201"/>
      <c r="AS94" s="197"/>
      <c r="AT94" s="176" t="s">
        <v>210</v>
      </c>
      <c r="AU94" s="166">
        <v>2007</v>
      </c>
      <c r="AV94" s="167">
        <v>70000000</v>
      </c>
      <c r="AW94" s="168">
        <v>299695</v>
      </c>
      <c r="AX94" s="989">
        <v>233.57079697692654</v>
      </c>
      <c r="AY94" s="989"/>
      <c r="AZ94" s="989"/>
      <c r="BA94" s="989">
        <v>407</v>
      </c>
      <c r="BB94" s="989"/>
      <c r="BC94" s="990"/>
      <c r="BD94" s="138"/>
    </row>
    <row r="95" spans="1:56" ht="15.75" x14ac:dyDescent="0.25">
      <c r="A95" s="144"/>
      <c r="B95" s="299" t="s">
        <v>245</v>
      </c>
      <c r="C95" s="258">
        <f t="shared" si="6"/>
        <v>125.39999999999999</v>
      </c>
      <c r="D95" s="253">
        <f t="shared" si="4"/>
        <v>132.36666666666665</v>
      </c>
      <c r="E95" s="140">
        <f t="shared" si="5"/>
        <v>139.33333333333331</v>
      </c>
      <c r="F95" s="308">
        <f t="shared" si="7"/>
        <v>146.29999999999998</v>
      </c>
      <c r="G95" s="303"/>
      <c r="H95" s="304"/>
      <c r="I95" s="143"/>
      <c r="AH95" s="138"/>
      <c r="AI95" s="194"/>
      <c r="AJ95" s="194"/>
      <c r="AK95" s="198"/>
      <c r="AL95" s="199"/>
      <c r="AM95" s="194"/>
      <c r="AN95" s="200"/>
      <c r="AO95" s="201"/>
      <c r="AP95" s="201"/>
      <c r="AQ95" s="200"/>
      <c r="AR95" s="201"/>
      <c r="AS95" s="197"/>
      <c r="AT95" s="176" t="s">
        <v>211</v>
      </c>
      <c r="AU95" s="166">
        <v>2013</v>
      </c>
      <c r="AV95" s="167"/>
      <c r="AW95" s="168">
        <v>5500</v>
      </c>
      <c r="AX95" s="989">
        <v>316</v>
      </c>
      <c r="AY95" s="989"/>
      <c r="AZ95" s="989"/>
      <c r="BA95" s="989">
        <v>410.8</v>
      </c>
      <c r="BB95" s="989"/>
      <c r="BC95" s="990"/>
      <c r="BD95" s="138"/>
    </row>
    <row r="96" spans="1:56" ht="16.5" thickBot="1" x14ac:dyDescent="0.3">
      <c r="A96" s="144"/>
      <c r="B96" s="299" t="s">
        <v>246</v>
      </c>
      <c r="C96" s="258">
        <f t="shared" si="6"/>
        <v>125.39999999999999</v>
      </c>
      <c r="D96" s="253">
        <f t="shared" si="4"/>
        <v>132.36666666666665</v>
      </c>
      <c r="E96" s="140">
        <f t="shared" si="5"/>
        <v>139.33333333333331</v>
      </c>
      <c r="F96" s="308">
        <f t="shared" si="7"/>
        <v>146.29999999999998</v>
      </c>
      <c r="G96" s="303"/>
      <c r="H96" s="304"/>
      <c r="I96" s="143"/>
      <c r="AH96" s="138"/>
      <c r="AI96" s="194"/>
      <c r="AJ96" s="194"/>
      <c r="AK96" s="198"/>
      <c r="AL96" s="199"/>
      <c r="AM96" s="194"/>
      <c r="AN96" s="200"/>
      <c r="AO96" s="201"/>
      <c r="AP96" s="201"/>
      <c r="AQ96" s="200"/>
      <c r="AR96" s="201"/>
      <c r="AS96" s="197"/>
      <c r="AT96" s="178" t="s">
        <v>212</v>
      </c>
      <c r="AU96" s="179">
        <v>2013</v>
      </c>
      <c r="AV96" s="180"/>
      <c r="AW96" s="181">
        <v>24833</v>
      </c>
      <c r="AX96" s="1012">
        <v>51</v>
      </c>
      <c r="AY96" s="1012"/>
      <c r="AZ96" s="1012"/>
      <c r="BA96" s="1012">
        <v>66.3</v>
      </c>
      <c r="BB96" s="1012"/>
      <c r="BC96" s="1013"/>
      <c r="BD96" s="138"/>
    </row>
    <row r="97" spans="1:56" ht="16.5" thickBot="1" x14ac:dyDescent="0.3">
      <c r="A97" s="144"/>
      <c r="B97" s="299" t="s">
        <v>247</v>
      </c>
      <c r="C97" s="258">
        <f t="shared" si="6"/>
        <v>125.39999999999999</v>
      </c>
      <c r="D97" s="253">
        <f t="shared" si="4"/>
        <v>132.36666666666665</v>
      </c>
      <c r="E97" s="140">
        <f t="shared" si="5"/>
        <v>139.33333333333331</v>
      </c>
      <c r="F97" s="308">
        <f t="shared" si="7"/>
        <v>146.29999999999998</v>
      </c>
      <c r="G97" s="303"/>
      <c r="H97" s="304"/>
      <c r="I97" s="143"/>
      <c r="AH97" s="138"/>
      <c r="AI97" s="194"/>
      <c r="AJ97" s="194"/>
      <c r="AK97" s="198"/>
      <c r="AL97" s="199"/>
      <c r="AM97" s="194"/>
      <c r="AN97" s="200"/>
      <c r="AO97" s="201"/>
      <c r="AP97" s="201"/>
      <c r="AQ97" s="200"/>
      <c r="AR97" s="201"/>
      <c r="AS97" s="197"/>
      <c r="AT97" s="150"/>
      <c r="AU97" s="150"/>
      <c r="AV97" s="151"/>
      <c r="AW97" s="154"/>
      <c r="AX97" s="150"/>
      <c r="AY97" s="152"/>
      <c r="AZ97" s="150"/>
      <c r="BA97" s="150"/>
      <c r="BB97" s="153"/>
      <c r="BD97" s="138"/>
    </row>
    <row r="98" spans="1:56" ht="16.5" thickBot="1" x14ac:dyDescent="0.3">
      <c r="A98" s="144"/>
      <c r="B98" s="299" t="s">
        <v>248</v>
      </c>
      <c r="C98" s="258">
        <f>100*1.045</f>
        <v>104.5</v>
      </c>
      <c r="D98" s="253">
        <f t="shared" si="4"/>
        <v>121.91666666666667</v>
      </c>
      <c r="E98" s="140">
        <f t="shared" si="5"/>
        <v>139.33333333333334</v>
      </c>
      <c r="F98" s="308">
        <f>150*1.045</f>
        <v>156.75</v>
      </c>
      <c r="G98" s="303"/>
      <c r="H98" s="304"/>
      <c r="I98" s="143"/>
      <c r="AH98" s="138"/>
      <c r="AI98" s="157" t="s">
        <v>213</v>
      </c>
      <c r="AJ98" s="162"/>
      <c r="AK98" s="182"/>
      <c r="AL98" s="183"/>
      <c r="AM98" s="157" t="s">
        <v>229</v>
      </c>
      <c r="AN98" s="202">
        <v>236.75466507596124</v>
      </c>
      <c r="AO98" s="164"/>
      <c r="AP98" s="164"/>
      <c r="AQ98" s="163">
        <v>311.63333333333333</v>
      </c>
      <c r="AR98" s="165"/>
      <c r="AS98" s="197"/>
      <c r="AT98" s="157" t="s">
        <v>213</v>
      </c>
      <c r="AU98" s="162"/>
      <c r="AV98" s="182"/>
      <c r="AW98" s="183"/>
      <c r="AX98" s="157" t="s">
        <v>229</v>
      </c>
      <c r="AY98" s="210">
        <v>127</v>
      </c>
      <c r="AZ98" s="162"/>
      <c r="BA98" s="162"/>
      <c r="BB98" s="209">
        <v>165.1</v>
      </c>
      <c r="BC98" s="204"/>
      <c r="BD98" s="138"/>
    </row>
    <row r="99" spans="1:56" ht="15.75" x14ac:dyDescent="0.25">
      <c r="A99" s="144"/>
      <c r="B99" s="299" t="s">
        <v>249</v>
      </c>
      <c r="C99" s="258">
        <f>100*1.045</f>
        <v>104.5</v>
      </c>
      <c r="D99" s="253">
        <f t="shared" si="4"/>
        <v>121.91666666666667</v>
      </c>
      <c r="E99" s="140">
        <f t="shared" si="5"/>
        <v>139.33333333333334</v>
      </c>
      <c r="F99" s="308">
        <f>150*1.045</f>
        <v>156.75</v>
      </c>
      <c r="G99" s="303"/>
      <c r="H99" s="304"/>
      <c r="I99" s="143"/>
      <c r="AH99" s="138"/>
      <c r="AI99" s="172" t="s">
        <v>140</v>
      </c>
      <c r="AJ99" s="155"/>
      <c r="AK99" s="187"/>
      <c r="AL99" s="188"/>
      <c r="AM99" s="155"/>
      <c r="AN99" s="189"/>
      <c r="AO99" s="190"/>
      <c r="AP99" s="190"/>
      <c r="AQ99" s="189"/>
      <c r="AR99" s="175"/>
      <c r="AS99" s="197"/>
      <c r="AT99" s="172" t="s">
        <v>140</v>
      </c>
      <c r="AU99" s="155"/>
      <c r="AV99" s="187"/>
      <c r="AW99" s="188"/>
      <c r="AX99" s="150"/>
      <c r="AY99" s="152"/>
      <c r="AZ99" s="174"/>
      <c r="BA99" s="174"/>
      <c r="BB99" s="173"/>
      <c r="BC99" s="214"/>
      <c r="BD99" s="138"/>
    </row>
    <row r="100" spans="1:56" ht="16.5" thickBot="1" x14ac:dyDescent="0.3">
      <c r="A100" s="144"/>
      <c r="B100" s="263" t="s">
        <v>16</v>
      </c>
      <c r="C100" s="258">
        <v>0</v>
      </c>
      <c r="D100" s="253">
        <v>0</v>
      </c>
      <c r="E100" s="140">
        <v>0</v>
      </c>
      <c r="F100" s="82">
        <v>0</v>
      </c>
      <c r="G100" s="303"/>
      <c r="H100" s="304"/>
      <c r="I100" s="143"/>
      <c r="AH100" s="138"/>
      <c r="AI100" s="176" t="s">
        <v>214</v>
      </c>
      <c r="AJ100" s="166">
        <v>2002</v>
      </c>
      <c r="AK100" s="167">
        <v>40153000</v>
      </c>
      <c r="AL100" s="168">
        <v>219135</v>
      </c>
      <c r="AM100" s="989">
        <v>183.23407944874165</v>
      </c>
      <c r="AN100" s="989"/>
      <c r="AO100" s="989"/>
      <c r="AP100" s="989">
        <v>236</v>
      </c>
      <c r="AQ100" s="989"/>
      <c r="AR100" s="990"/>
      <c r="AS100" s="197"/>
      <c r="AT100" s="178" t="s">
        <v>215</v>
      </c>
      <c r="AU100" s="215"/>
      <c r="AV100" s="216"/>
      <c r="AW100" s="217"/>
      <c r="AX100" s="1012">
        <v>127</v>
      </c>
      <c r="AY100" s="1012"/>
      <c r="AZ100" s="1012"/>
      <c r="BA100" s="1012">
        <v>165.1</v>
      </c>
      <c r="BB100" s="1012"/>
      <c r="BC100" s="1013"/>
      <c r="BD100" s="138"/>
    </row>
    <row r="101" spans="1:56" ht="15.75" x14ac:dyDescent="0.25">
      <c r="A101" s="144"/>
      <c r="B101" s="263" t="s">
        <v>302</v>
      </c>
      <c r="C101" s="258">
        <v>0</v>
      </c>
      <c r="D101" s="253">
        <v>0</v>
      </c>
      <c r="E101" s="140">
        <v>0</v>
      </c>
      <c r="F101" s="82">
        <v>0</v>
      </c>
      <c r="G101" s="303"/>
      <c r="H101" s="304"/>
      <c r="I101" s="143"/>
      <c r="AH101" s="138"/>
      <c r="AI101" s="176" t="s">
        <v>216</v>
      </c>
      <c r="AJ101" s="166">
        <v>2010</v>
      </c>
      <c r="AK101" s="167">
        <v>39505000</v>
      </c>
      <c r="AL101" s="168">
        <v>170800</v>
      </c>
      <c r="AM101" s="989">
        <v>231.29391100702577</v>
      </c>
      <c r="AN101" s="989"/>
      <c r="AO101" s="989"/>
      <c r="AP101" s="989">
        <v>326</v>
      </c>
      <c r="AQ101" s="989"/>
      <c r="AR101" s="990"/>
      <c r="AS101" s="197"/>
      <c r="AT101" s="194"/>
      <c r="AU101" s="195"/>
      <c r="AV101" s="219"/>
      <c r="AW101" s="220"/>
      <c r="AX101" s="194"/>
      <c r="AY101" s="218"/>
      <c r="AZ101" s="221"/>
      <c r="BA101" s="221"/>
      <c r="BB101" s="218"/>
      <c r="BC101" s="138"/>
      <c r="BD101" s="138"/>
    </row>
    <row r="102" spans="1:56" ht="15.75" x14ac:dyDescent="0.25">
      <c r="A102" s="144"/>
      <c r="B102" s="263" t="s">
        <v>0</v>
      </c>
      <c r="C102" s="258">
        <v>0</v>
      </c>
      <c r="D102" s="253">
        <v>0</v>
      </c>
      <c r="E102" s="140">
        <v>0</v>
      </c>
      <c r="F102" s="82">
        <v>0</v>
      </c>
      <c r="G102" s="303"/>
      <c r="H102" s="304"/>
      <c r="I102" s="143"/>
      <c r="AH102" s="138"/>
      <c r="AI102" s="176" t="s">
        <v>217</v>
      </c>
      <c r="AJ102" s="166">
        <v>2013</v>
      </c>
      <c r="AK102" s="167"/>
      <c r="AL102" s="168"/>
      <c r="AM102" s="989">
        <v>226</v>
      </c>
      <c r="AN102" s="989"/>
      <c r="AO102" s="989"/>
      <c r="AP102" s="989">
        <v>293.8</v>
      </c>
      <c r="AQ102" s="989"/>
      <c r="AR102" s="990"/>
      <c r="AS102" s="197"/>
      <c r="AT102" s="194"/>
      <c r="AU102" s="195"/>
      <c r="AV102" s="219"/>
      <c r="AW102" s="220"/>
      <c r="AX102" s="194"/>
      <c r="AY102" s="218"/>
      <c r="AZ102" s="221"/>
      <c r="BA102" s="221"/>
      <c r="BB102" s="218"/>
      <c r="BC102" s="138"/>
      <c r="BD102" s="138"/>
    </row>
    <row r="103" spans="1:56" ht="15.75" x14ac:dyDescent="0.25">
      <c r="A103" s="144"/>
      <c r="B103" s="263" t="s">
        <v>303</v>
      </c>
      <c r="C103" s="258">
        <v>0</v>
      </c>
      <c r="D103" s="253">
        <v>0</v>
      </c>
      <c r="E103" s="140">
        <v>0</v>
      </c>
      <c r="F103" s="82">
        <v>0</v>
      </c>
      <c r="G103" s="303"/>
      <c r="H103" s="304"/>
      <c r="I103" s="143"/>
      <c r="AH103" s="138"/>
      <c r="AI103" s="176" t="s">
        <v>218</v>
      </c>
      <c r="AJ103" s="166">
        <v>2013</v>
      </c>
      <c r="AK103" s="167"/>
      <c r="AL103" s="168">
        <v>75000</v>
      </c>
      <c r="AM103" s="989">
        <v>181</v>
      </c>
      <c r="AN103" s="989"/>
      <c r="AO103" s="989"/>
      <c r="AP103" s="989">
        <v>235.3</v>
      </c>
      <c r="AQ103" s="989"/>
      <c r="AR103" s="990"/>
      <c r="AS103" s="197"/>
      <c r="AT103" s="194"/>
      <c r="AU103" s="195"/>
      <c r="AV103" s="219"/>
      <c r="AW103" s="220"/>
      <c r="AX103" s="194"/>
      <c r="AY103" s="218"/>
      <c r="AZ103" s="221"/>
      <c r="BA103" s="221"/>
      <c r="BB103" s="218"/>
      <c r="BC103" s="138"/>
      <c r="BD103" s="138"/>
    </row>
    <row r="104" spans="1:56" ht="15.75" x14ac:dyDescent="0.25">
      <c r="A104" s="144"/>
      <c r="B104" s="263" t="s">
        <v>227</v>
      </c>
      <c r="C104" s="258">
        <v>0</v>
      </c>
      <c r="D104" s="253">
        <v>0</v>
      </c>
      <c r="E104" s="140">
        <v>0</v>
      </c>
      <c r="F104" s="82">
        <v>0</v>
      </c>
      <c r="G104" s="303"/>
      <c r="H104" s="304"/>
      <c r="I104" s="143"/>
      <c r="AH104" s="138"/>
      <c r="AI104" s="176" t="s">
        <v>219</v>
      </c>
      <c r="AJ104" s="166">
        <v>2013</v>
      </c>
      <c r="AK104" s="167"/>
      <c r="AL104" s="168">
        <v>78020</v>
      </c>
      <c r="AM104" s="989">
        <v>256</v>
      </c>
      <c r="AN104" s="989"/>
      <c r="AO104" s="989"/>
      <c r="AP104" s="989">
        <v>332.8</v>
      </c>
      <c r="AQ104" s="989"/>
      <c r="AR104" s="990"/>
      <c r="AS104" s="197"/>
      <c r="AT104" s="194"/>
      <c r="AU104" s="195"/>
      <c r="AV104" s="219"/>
      <c r="AW104" s="220"/>
      <c r="AX104" s="194"/>
      <c r="AY104" s="218"/>
      <c r="AZ104" s="221"/>
      <c r="BA104" s="221"/>
      <c r="BB104" s="218"/>
      <c r="BC104" s="138"/>
      <c r="BD104" s="138"/>
    </row>
    <row r="105" spans="1:56" ht="16.5" thickBot="1" x14ac:dyDescent="0.3">
      <c r="A105" s="144"/>
      <c r="B105" s="263" t="s">
        <v>388</v>
      </c>
      <c r="C105" s="258">
        <v>0</v>
      </c>
      <c r="D105" s="253">
        <v>0</v>
      </c>
      <c r="E105" s="140">
        <v>0</v>
      </c>
      <c r="F105" s="82">
        <v>0</v>
      </c>
      <c r="G105" s="303"/>
      <c r="H105" s="304"/>
      <c r="I105" s="143"/>
      <c r="AH105" s="138"/>
      <c r="AI105" s="178" t="s">
        <v>220</v>
      </c>
      <c r="AJ105" s="179">
        <v>2013</v>
      </c>
      <c r="AK105" s="180"/>
      <c r="AL105" s="181">
        <v>45771</v>
      </c>
      <c r="AM105" s="1012">
        <v>343</v>
      </c>
      <c r="AN105" s="1012"/>
      <c r="AO105" s="1012"/>
      <c r="AP105" s="1012">
        <v>445.90000000000003</v>
      </c>
      <c r="AQ105" s="1012"/>
      <c r="AR105" s="1013"/>
      <c r="AS105" s="197"/>
      <c r="AT105" s="194"/>
      <c r="AU105" s="195"/>
      <c r="AV105" s="219"/>
      <c r="AW105" s="220"/>
      <c r="AX105" s="194"/>
      <c r="AY105" s="218"/>
      <c r="AZ105" s="221"/>
      <c r="BA105" s="221"/>
      <c r="BB105" s="218"/>
      <c r="BC105" s="138"/>
      <c r="BD105" s="138"/>
    </row>
    <row r="106" spans="1:56" ht="15.75" x14ac:dyDescent="0.25">
      <c r="A106" s="144"/>
      <c r="B106" s="299" t="s">
        <v>389</v>
      </c>
      <c r="C106" s="258">
        <v>0</v>
      </c>
      <c r="D106" s="253">
        <v>0</v>
      </c>
      <c r="E106" s="140">
        <v>0</v>
      </c>
      <c r="F106" s="308">
        <v>0</v>
      </c>
      <c r="G106" s="303"/>
      <c r="H106" s="304"/>
      <c r="I106" s="143"/>
      <c r="AH106" s="138"/>
      <c r="AI106" s="150"/>
      <c r="AJ106" s="150"/>
      <c r="AK106" s="151"/>
      <c r="AL106" s="154"/>
      <c r="AM106" s="173"/>
      <c r="AN106" s="173"/>
      <c r="AO106" s="173"/>
      <c r="AP106" s="173"/>
      <c r="AQ106" s="173"/>
      <c r="AR106" s="173"/>
      <c r="AS106" s="197"/>
      <c r="AT106" s="194"/>
      <c r="AU106" s="195"/>
      <c r="AV106" s="219"/>
      <c r="AW106" s="220"/>
      <c r="AX106" s="194"/>
      <c r="AY106" s="218"/>
      <c r="AZ106" s="221"/>
      <c r="BA106" s="221"/>
      <c r="BB106" s="218"/>
      <c r="BC106" s="138"/>
      <c r="BD106" s="138"/>
    </row>
    <row r="107" spans="1:56" ht="16.5" thickBot="1" x14ac:dyDescent="0.3">
      <c r="A107" s="144"/>
      <c r="B107" s="299" t="s">
        <v>250</v>
      </c>
      <c r="C107" s="258">
        <f t="shared" ref="C107:C113" si="8">140*1.045</f>
        <v>146.29999999999998</v>
      </c>
      <c r="D107" s="253">
        <f t="shared" ref="D107:D113" si="9">(F107-C107)/3+C107</f>
        <v>156.74999999999997</v>
      </c>
      <c r="E107" s="140">
        <f t="shared" ref="E107:E113" si="10">(2*(F107-C107)/3)+C107</f>
        <v>167.2</v>
      </c>
      <c r="F107" s="308">
        <f t="shared" ref="F107:F113" si="11">170*1.045</f>
        <v>177.64999999999998</v>
      </c>
      <c r="G107" s="303"/>
      <c r="H107" s="304"/>
      <c r="I107" s="143"/>
      <c r="AH107" s="138"/>
      <c r="AI107" s="195"/>
      <c r="AJ107" s="195"/>
      <c r="AK107" s="219"/>
      <c r="AL107" s="220"/>
      <c r="AM107" s="195"/>
      <c r="AN107" s="236"/>
      <c r="AO107" s="237"/>
      <c r="AP107" s="237"/>
      <c r="AQ107" s="236"/>
      <c r="AR107" s="201"/>
      <c r="AS107" s="197"/>
      <c r="AT107" s="194"/>
      <c r="AU107" s="195"/>
      <c r="AV107" s="219"/>
      <c r="AW107" s="220"/>
      <c r="AX107" s="194"/>
      <c r="AY107" s="218"/>
      <c r="AZ107" s="201"/>
      <c r="BA107" s="201"/>
      <c r="BB107" s="200"/>
      <c r="BC107" s="138"/>
      <c r="BD107" s="138"/>
    </row>
    <row r="108" spans="1:56" ht="16.5" thickBot="1" x14ac:dyDescent="0.3">
      <c r="A108" s="144"/>
      <c r="B108" s="299" t="s">
        <v>251</v>
      </c>
      <c r="C108" s="258">
        <f t="shared" si="8"/>
        <v>146.29999999999998</v>
      </c>
      <c r="D108" s="253">
        <f t="shared" si="9"/>
        <v>156.74999999999997</v>
      </c>
      <c r="E108" s="140">
        <f t="shared" si="10"/>
        <v>167.2</v>
      </c>
      <c r="F108" s="308">
        <f t="shared" si="11"/>
        <v>177.64999999999998</v>
      </c>
      <c r="G108" s="303"/>
      <c r="H108" s="304"/>
      <c r="I108" s="143"/>
      <c r="AH108" s="138"/>
      <c r="AI108" s="157" t="s">
        <v>221</v>
      </c>
      <c r="AJ108" s="162"/>
      <c r="AK108" s="182"/>
      <c r="AL108" s="183"/>
      <c r="AM108" s="157" t="s">
        <v>229</v>
      </c>
      <c r="AN108" s="202">
        <v>352</v>
      </c>
      <c r="AO108" s="164"/>
      <c r="AP108" s="164"/>
      <c r="AQ108" s="163">
        <v>475</v>
      </c>
      <c r="AR108" s="165"/>
      <c r="AS108" s="197"/>
      <c r="AT108" s="157" t="s">
        <v>221</v>
      </c>
      <c r="AU108" s="162"/>
      <c r="AV108" s="182"/>
      <c r="AW108" s="183"/>
      <c r="AX108" s="157" t="s">
        <v>229</v>
      </c>
      <c r="AY108" s="210">
        <v>100</v>
      </c>
      <c r="AZ108" s="164"/>
      <c r="BA108" s="164"/>
      <c r="BB108" s="182">
        <v>148</v>
      </c>
      <c r="BC108" s="204"/>
      <c r="BD108" s="138"/>
    </row>
    <row r="109" spans="1:56" ht="15.75" x14ac:dyDescent="0.25">
      <c r="A109" s="144"/>
      <c r="B109" s="263" t="s">
        <v>252</v>
      </c>
      <c r="C109" s="258">
        <f t="shared" si="8"/>
        <v>146.29999999999998</v>
      </c>
      <c r="D109" s="253">
        <f t="shared" si="9"/>
        <v>156.74999999999997</v>
      </c>
      <c r="E109" s="140">
        <f t="shared" si="10"/>
        <v>167.2</v>
      </c>
      <c r="F109" s="308">
        <f t="shared" si="11"/>
        <v>177.64999999999998</v>
      </c>
      <c r="G109" s="303"/>
      <c r="H109" s="304"/>
      <c r="I109" s="143"/>
      <c r="AH109" s="138"/>
      <c r="AI109" s="172" t="s">
        <v>140</v>
      </c>
      <c r="AJ109" s="155"/>
      <c r="AK109" s="187"/>
      <c r="AL109" s="188"/>
      <c r="AM109" s="155"/>
      <c r="AN109" s="173"/>
      <c r="AO109" s="174"/>
      <c r="AP109" s="174"/>
      <c r="AQ109" s="173"/>
      <c r="AR109" s="175"/>
      <c r="AS109" s="197"/>
      <c r="AT109" s="172" t="s">
        <v>140</v>
      </c>
      <c r="AU109" s="155"/>
      <c r="AV109" s="187"/>
      <c r="AW109" s="188"/>
      <c r="AX109" s="150"/>
      <c r="AY109" s="152"/>
      <c r="AZ109" s="174"/>
      <c r="BA109" s="174"/>
      <c r="BB109" s="173"/>
      <c r="BC109" s="214"/>
      <c r="BD109" s="138"/>
    </row>
    <row r="110" spans="1:56" ht="13.5" customHeight="1" thickBot="1" x14ac:dyDescent="0.3">
      <c r="A110" s="144"/>
      <c r="B110" s="299" t="s">
        <v>253</v>
      </c>
      <c r="C110" s="258">
        <f t="shared" si="8"/>
        <v>146.29999999999998</v>
      </c>
      <c r="D110" s="253">
        <f t="shared" si="9"/>
        <v>156.74999999999997</v>
      </c>
      <c r="E110" s="140">
        <f t="shared" si="10"/>
        <v>167.2</v>
      </c>
      <c r="F110" s="308">
        <f t="shared" si="11"/>
        <v>177.64999999999998</v>
      </c>
      <c r="G110" s="303"/>
      <c r="H110" s="304"/>
      <c r="I110" s="143"/>
      <c r="AH110" s="138"/>
      <c r="AI110" s="178" t="s">
        <v>222</v>
      </c>
      <c r="AJ110" s="179">
        <v>2013</v>
      </c>
      <c r="AK110" s="180">
        <v>14076000</v>
      </c>
      <c r="AL110" s="181">
        <v>40000</v>
      </c>
      <c r="AM110" s="1012">
        <v>351.9</v>
      </c>
      <c r="AN110" s="1012"/>
      <c r="AO110" s="1012"/>
      <c r="AP110" s="1012">
        <v>475</v>
      </c>
      <c r="AQ110" s="1012"/>
      <c r="AR110" s="1013"/>
      <c r="AS110" s="197"/>
      <c r="AT110" s="176" t="s">
        <v>223</v>
      </c>
      <c r="AU110" s="166">
        <v>2008</v>
      </c>
      <c r="AV110" s="167">
        <v>3996000</v>
      </c>
      <c r="AW110" s="168">
        <v>57000</v>
      </c>
      <c r="AX110" s="989">
        <v>70.10526315789474</v>
      </c>
      <c r="AY110" s="989"/>
      <c r="AZ110" s="989"/>
      <c r="BA110" s="989">
        <v>72</v>
      </c>
      <c r="BB110" s="989"/>
      <c r="BC110" s="990"/>
      <c r="BD110" s="138"/>
    </row>
    <row r="111" spans="1:56" ht="16.5" thickBot="1" x14ac:dyDescent="0.3">
      <c r="A111" s="144"/>
      <c r="B111" s="299" t="s">
        <v>254</v>
      </c>
      <c r="C111" s="258">
        <f t="shared" si="8"/>
        <v>146.29999999999998</v>
      </c>
      <c r="D111" s="253">
        <f t="shared" si="9"/>
        <v>156.74999999999997</v>
      </c>
      <c r="E111" s="140">
        <f t="shared" si="10"/>
        <v>167.2</v>
      </c>
      <c r="F111" s="308">
        <f t="shared" si="11"/>
        <v>177.64999999999998</v>
      </c>
      <c r="G111" s="303"/>
      <c r="H111" s="304"/>
      <c r="I111" s="143"/>
      <c r="AH111" s="138"/>
      <c r="AI111" s="194"/>
      <c r="AJ111" s="194"/>
      <c r="AK111" s="198"/>
      <c r="AL111" s="199"/>
      <c r="AM111" s="194"/>
      <c r="AN111" s="200"/>
      <c r="AO111" s="201"/>
      <c r="AP111" s="201"/>
      <c r="AQ111" s="200"/>
      <c r="AR111" s="201"/>
      <c r="AS111" s="197"/>
      <c r="AT111" s="178" t="s">
        <v>224</v>
      </c>
      <c r="AU111" s="179">
        <v>2006</v>
      </c>
      <c r="AV111" s="180">
        <v>16943000</v>
      </c>
      <c r="AW111" s="181">
        <v>170270</v>
      </c>
      <c r="AX111" s="1012">
        <v>99.506665883596639</v>
      </c>
      <c r="AY111" s="1012"/>
      <c r="AZ111" s="1012"/>
      <c r="BA111" s="1012">
        <v>148</v>
      </c>
      <c r="BB111" s="1012"/>
      <c r="BC111" s="1013"/>
      <c r="BD111" s="138"/>
    </row>
    <row r="112" spans="1:56" ht="16.5" thickBot="1" x14ac:dyDescent="0.3">
      <c r="A112" s="144"/>
      <c r="B112" s="299" t="s">
        <v>255</v>
      </c>
      <c r="C112" s="258">
        <f t="shared" si="8"/>
        <v>146.29999999999998</v>
      </c>
      <c r="D112" s="253">
        <f t="shared" si="9"/>
        <v>156.74999999999997</v>
      </c>
      <c r="E112" s="140">
        <f t="shared" si="10"/>
        <v>167.2</v>
      </c>
      <c r="F112" s="308">
        <f t="shared" si="11"/>
        <v>177.64999999999998</v>
      </c>
      <c r="G112" s="303"/>
      <c r="H112" s="304"/>
      <c r="I112" s="143"/>
      <c r="AH112" s="138"/>
      <c r="AI112" s="195"/>
      <c r="AJ112" s="195"/>
      <c r="AK112" s="219"/>
      <c r="AL112" s="220"/>
      <c r="AM112" s="195"/>
      <c r="AN112" s="200"/>
      <c r="AO112" s="201"/>
      <c r="AP112" s="201"/>
      <c r="AQ112" s="200"/>
      <c r="AR112" s="201"/>
      <c r="AS112" s="197"/>
      <c r="AT112" s="194"/>
      <c r="AU112" s="195"/>
      <c r="AV112" s="219"/>
      <c r="AW112" s="220"/>
      <c r="AX112" s="194"/>
      <c r="AY112" s="218"/>
      <c r="AZ112" s="201"/>
      <c r="BA112" s="201"/>
      <c r="BB112" s="200"/>
      <c r="BC112" s="138"/>
      <c r="BD112" s="138"/>
    </row>
    <row r="113" spans="1:56" ht="16.5" thickBot="1" x14ac:dyDescent="0.3">
      <c r="A113" s="144"/>
      <c r="B113" s="300" t="s">
        <v>256</v>
      </c>
      <c r="C113" s="259">
        <f t="shared" si="8"/>
        <v>146.29999999999998</v>
      </c>
      <c r="D113" s="260">
        <f t="shared" si="9"/>
        <v>156.74999999999997</v>
      </c>
      <c r="E113" s="141">
        <f t="shared" si="10"/>
        <v>167.2</v>
      </c>
      <c r="F113" s="309">
        <f t="shared" si="11"/>
        <v>177.64999999999998</v>
      </c>
      <c r="G113" s="305"/>
      <c r="H113" s="306"/>
      <c r="I113" s="143"/>
      <c r="AH113" s="138"/>
      <c r="AI113" s="157" t="s">
        <v>225</v>
      </c>
      <c r="AJ113" s="162"/>
      <c r="AK113" s="182"/>
      <c r="AL113" s="183"/>
      <c r="AM113" s="157" t="s">
        <v>229</v>
      </c>
      <c r="AN113" s="202">
        <v>51</v>
      </c>
      <c r="AO113" s="164"/>
      <c r="AP113" s="164"/>
      <c r="AQ113" s="163">
        <v>66.3</v>
      </c>
      <c r="AR113" s="165"/>
      <c r="AS113" s="197"/>
      <c r="AT113" s="157" t="s">
        <v>225</v>
      </c>
      <c r="AU113" s="162"/>
      <c r="AV113" s="182"/>
      <c r="AW113" s="183"/>
      <c r="AX113" s="157" t="s">
        <v>229</v>
      </c>
      <c r="AY113" s="205" t="s">
        <v>226</v>
      </c>
      <c r="AZ113" s="207"/>
      <c r="BA113" s="207"/>
      <c r="BB113" s="203" t="s">
        <v>226</v>
      </c>
      <c r="BC113" s="204"/>
      <c r="BD113" s="138"/>
    </row>
    <row r="114" spans="1:56" ht="15.75" thickBot="1" x14ac:dyDescent="0.3">
      <c r="A114" s="145"/>
      <c r="B114" s="146"/>
      <c r="C114" s="146"/>
      <c r="D114" s="146"/>
      <c r="E114" s="146"/>
      <c r="F114" s="146"/>
      <c r="G114" s="146"/>
      <c r="H114" s="146"/>
      <c r="I114" s="147"/>
      <c r="AH114" s="138"/>
      <c r="AI114" s="222" t="s">
        <v>140</v>
      </c>
      <c r="AJ114" s="225"/>
      <c r="AK114" s="226"/>
      <c r="AL114" s="227"/>
      <c r="AM114" s="225"/>
      <c r="AN114" s="228"/>
      <c r="AO114" s="229"/>
      <c r="AP114" s="229"/>
      <c r="AQ114" s="228"/>
      <c r="AR114" s="232"/>
      <c r="AS114" s="197"/>
      <c r="AT114" s="222" t="s">
        <v>140</v>
      </c>
      <c r="AU114" s="225"/>
      <c r="AV114" s="226"/>
      <c r="AW114" s="227"/>
      <c r="AX114" s="231"/>
      <c r="AY114" s="234"/>
      <c r="AZ114" s="235"/>
      <c r="BA114" s="235"/>
      <c r="BB114" s="234"/>
      <c r="BC114" s="224"/>
      <c r="BD114" s="138"/>
    </row>
    <row r="115" spans="1:56" ht="15.75" thickBot="1" x14ac:dyDescent="0.3">
      <c r="A115" s="426" t="s">
        <v>406</v>
      </c>
      <c r="AH115" s="138"/>
      <c r="AI115" s="195"/>
      <c r="AJ115" s="195"/>
      <c r="AK115" s="219"/>
      <c r="AL115" s="220"/>
      <c r="AM115" s="195"/>
      <c r="AN115" s="238"/>
      <c r="AO115" s="238"/>
      <c r="AP115" s="238"/>
      <c r="AQ115" s="238"/>
      <c r="AR115" s="201"/>
      <c r="AS115" s="197"/>
      <c r="AT115" s="195"/>
      <c r="AU115" s="195"/>
      <c r="AV115" s="219"/>
      <c r="AW115" s="220"/>
      <c r="AX115" s="194"/>
      <c r="AY115" s="218"/>
      <c r="AZ115" s="221"/>
      <c r="BA115" s="221"/>
      <c r="BB115" s="218"/>
      <c r="BC115" s="138"/>
      <c r="BD115" s="138"/>
    </row>
    <row r="116" spans="1:56" ht="15.75" thickBot="1" x14ac:dyDescent="0.3">
      <c r="AH116" s="138"/>
      <c r="AI116" s="157" t="s">
        <v>227</v>
      </c>
      <c r="AJ116" s="162"/>
      <c r="AK116" s="182"/>
      <c r="AL116" s="183"/>
      <c r="AM116" s="157" t="s">
        <v>229</v>
      </c>
      <c r="AN116" s="202">
        <v>210</v>
      </c>
      <c r="AO116" s="186"/>
      <c r="AP116" s="186"/>
      <c r="AQ116" s="163">
        <v>273</v>
      </c>
      <c r="AR116" s="165"/>
      <c r="AS116" s="197"/>
      <c r="AT116" s="157" t="s">
        <v>227</v>
      </c>
      <c r="AU116" s="162"/>
      <c r="AV116" s="182"/>
      <c r="AW116" s="183"/>
      <c r="AX116" s="157" t="s">
        <v>229</v>
      </c>
      <c r="AY116" s="205" t="s">
        <v>226</v>
      </c>
      <c r="AZ116" s="162"/>
      <c r="BA116" s="162"/>
      <c r="BB116" s="203" t="s">
        <v>226</v>
      </c>
      <c r="BC116" s="204"/>
      <c r="BD116" s="138"/>
    </row>
    <row r="117" spans="1:56" ht="15.75" thickBot="1" x14ac:dyDescent="0.3">
      <c r="AH117" s="138"/>
      <c r="AI117" s="222" t="s">
        <v>140</v>
      </c>
      <c r="AJ117" s="225"/>
      <c r="AK117" s="226"/>
      <c r="AL117" s="227"/>
      <c r="AM117" s="225"/>
      <c r="AN117" s="228"/>
      <c r="AO117" s="233"/>
      <c r="AP117" s="233"/>
      <c r="AQ117" s="228"/>
      <c r="AR117" s="232"/>
      <c r="AS117" s="197"/>
      <c r="AT117" s="222" t="s">
        <v>140</v>
      </c>
      <c r="AU117" s="225"/>
      <c r="AV117" s="226"/>
      <c r="AW117" s="227"/>
      <c r="AX117" s="225"/>
      <c r="AY117" s="234"/>
      <c r="AZ117" s="225"/>
      <c r="BA117" s="225"/>
      <c r="BB117" s="234"/>
      <c r="BC117" s="224"/>
      <c r="BD117" s="138"/>
    </row>
    <row r="118" spans="1:56" ht="15.75" thickBot="1" x14ac:dyDescent="0.3">
      <c r="AH118" s="138"/>
      <c r="AI118" s="195"/>
      <c r="AJ118" s="195"/>
      <c r="AK118" s="219"/>
      <c r="AL118" s="220"/>
      <c r="AM118" s="195"/>
      <c r="AN118" s="195"/>
      <c r="AO118" s="195"/>
      <c r="AP118" s="195"/>
      <c r="AQ118" s="195"/>
      <c r="AR118" s="201"/>
      <c r="AS118" s="197"/>
      <c r="AT118" s="195"/>
      <c r="AU118" s="195"/>
      <c r="AV118" s="219"/>
      <c r="AW118" s="220"/>
      <c r="AX118" s="195"/>
      <c r="AY118" s="218"/>
      <c r="AZ118" s="195"/>
      <c r="BA118" s="195"/>
      <c r="BB118" s="218"/>
      <c r="BC118" s="138"/>
      <c r="BD118" s="138"/>
    </row>
    <row r="119" spans="1:56" ht="15.75" thickBot="1" x14ac:dyDescent="0.3">
      <c r="AH119" s="138"/>
      <c r="AI119" s="157" t="s">
        <v>131</v>
      </c>
      <c r="AJ119" s="162"/>
      <c r="AK119" s="182"/>
      <c r="AL119" s="183"/>
      <c r="AM119" s="157" t="s">
        <v>229</v>
      </c>
      <c r="AN119" s="202">
        <v>155</v>
      </c>
      <c r="AO119" s="164"/>
      <c r="AP119" s="164"/>
      <c r="AQ119" s="163">
        <v>201.5</v>
      </c>
      <c r="AR119" s="165"/>
      <c r="AS119" s="197"/>
      <c r="AT119" s="157" t="s">
        <v>131</v>
      </c>
      <c r="AU119" s="162"/>
      <c r="AV119" s="162"/>
      <c r="AW119" s="162"/>
      <c r="AX119" s="157" t="s">
        <v>229</v>
      </c>
      <c r="AY119" s="205" t="s">
        <v>226</v>
      </c>
      <c r="AZ119" s="162"/>
      <c r="BA119" s="162"/>
      <c r="BB119" s="203" t="s">
        <v>226</v>
      </c>
      <c r="BC119" s="204"/>
      <c r="BD119" s="138"/>
    </row>
    <row r="120" spans="1:56" ht="15.75" thickBot="1" x14ac:dyDescent="0.3">
      <c r="AH120" s="138"/>
      <c r="AI120" s="222" t="s">
        <v>140</v>
      </c>
      <c r="AJ120" s="231"/>
      <c r="AK120" s="231"/>
      <c r="AL120" s="231"/>
      <c r="AM120" s="231"/>
      <c r="AN120" s="225"/>
      <c r="AO120" s="225"/>
      <c r="AP120" s="225"/>
      <c r="AQ120" s="225"/>
      <c r="AR120" s="232"/>
      <c r="AS120" s="197"/>
      <c r="AT120" s="222" t="s">
        <v>140</v>
      </c>
      <c r="AU120" s="231"/>
      <c r="AV120" s="231"/>
      <c r="AW120" s="231"/>
      <c r="AX120" s="231"/>
      <c r="AY120" s="231"/>
      <c r="AZ120" s="231"/>
      <c r="BA120" s="231"/>
      <c r="BB120" s="231"/>
      <c r="BC120" s="224"/>
      <c r="BD120" s="138"/>
    </row>
    <row r="121" spans="1:56" ht="15.75" thickBot="1" x14ac:dyDescent="0.3">
      <c r="AH121" s="138"/>
      <c r="AI121" s="195"/>
      <c r="AJ121" s="194"/>
      <c r="AK121" s="198"/>
      <c r="AL121" s="199"/>
      <c r="AM121" s="138"/>
      <c r="AN121" s="236"/>
      <c r="AO121" s="237"/>
      <c r="AP121" s="237"/>
      <c r="AQ121" s="236"/>
      <c r="AR121" s="196"/>
      <c r="AS121" s="194"/>
      <c r="AT121" s="194"/>
      <c r="AU121" s="194"/>
      <c r="AV121" s="194"/>
      <c r="AW121" s="194"/>
      <c r="AX121" s="194"/>
      <c r="AY121" s="194"/>
      <c r="AZ121" s="194"/>
      <c r="BA121" s="194"/>
      <c r="BB121" s="194"/>
      <c r="BC121" s="138"/>
      <c r="BD121" s="138"/>
    </row>
    <row r="122" spans="1:56" ht="15.75" thickBot="1" x14ac:dyDescent="0.3">
      <c r="AH122" s="138"/>
      <c r="AI122" s="157" t="s">
        <v>132</v>
      </c>
      <c r="AJ122" s="162"/>
      <c r="AK122" s="182"/>
      <c r="AL122" s="183"/>
      <c r="AM122" s="157" t="s">
        <v>229</v>
      </c>
      <c r="AN122" s="202">
        <v>68</v>
      </c>
      <c r="AO122" s="164"/>
      <c r="AP122" s="164"/>
      <c r="AQ122" s="163">
        <v>88.4</v>
      </c>
      <c r="AR122" s="185"/>
      <c r="AS122" s="194"/>
      <c r="AT122" s="157" t="s">
        <v>132</v>
      </c>
      <c r="AU122" s="206"/>
      <c r="AV122" s="206"/>
      <c r="AW122" s="206"/>
      <c r="AX122" s="157" t="s">
        <v>229</v>
      </c>
      <c r="AY122" s="208" t="s">
        <v>226</v>
      </c>
      <c r="AZ122" s="206"/>
      <c r="BA122" s="206"/>
      <c r="BB122" s="207" t="s">
        <v>226</v>
      </c>
      <c r="BC122" s="204"/>
      <c r="BD122" s="138"/>
    </row>
    <row r="123" spans="1:56" ht="15.75" thickBot="1" x14ac:dyDescent="0.3">
      <c r="AH123" s="138"/>
      <c r="AI123" s="222" t="s">
        <v>140</v>
      </c>
      <c r="AJ123" s="225"/>
      <c r="AK123" s="226"/>
      <c r="AL123" s="227"/>
      <c r="AM123" s="225"/>
      <c r="AN123" s="228"/>
      <c r="AO123" s="229"/>
      <c r="AP123" s="229"/>
      <c r="AQ123" s="228"/>
      <c r="AR123" s="230"/>
      <c r="AS123" s="194"/>
      <c r="AT123" s="222" t="s">
        <v>140</v>
      </c>
      <c r="AU123" s="231"/>
      <c r="AV123" s="231"/>
      <c r="AW123" s="231"/>
      <c r="AX123" s="231"/>
      <c r="AY123" s="231"/>
      <c r="AZ123" s="231"/>
      <c r="BA123" s="231"/>
      <c r="BB123" s="231"/>
      <c r="BC123" s="224"/>
      <c r="BD123" s="138"/>
    </row>
    <row r="124" spans="1:56" ht="15.75" thickBot="1" x14ac:dyDescent="0.3">
      <c r="AH124" s="138"/>
      <c r="AI124" s="194"/>
      <c r="AJ124" s="194"/>
      <c r="AK124" s="198"/>
      <c r="AL124" s="199"/>
      <c r="AM124" s="194"/>
      <c r="AN124" s="236"/>
      <c r="AO124" s="237"/>
      <c r="AP124" s="237"/>
      <c r="AQ124" s="236"/>
      <c r="AR124" s="194"/>
      <c r="AS124" s="194"/>
      <c r="AT124" s="194"/>
      <c r="AU124" s="194"/>
      <c r="AV124" s="194"/>
      <c r="AW124" s="194"/>
      <c r="AX124" s="194"/>
      <c r="AY124" s="194"/>
      <c r="AZ124" s="194"/>
      <c r="BA124" s="194"/>
      <c r="BB124" s="194"/>
      <c r="BC124" s="138"/>
      <c r="BD124" s="138"/>
    </row>
    <row r="125" spans="1:56" ht="15.75" thickBot="1" x14ac:dyDescent="0.3">
      <c r="AH125" s="138"/>
      <c r="AI125" s="157" t="s">
        <v>228</v>
      </c>
      <c r="AJ125" s="162"/>
      <c r="AK125" s="182"/>
      <c r="AL125" s="183"/>
      <c r="AM125" s="157" t="s">
        <v>229</v>
      </c>
      <c r="AN125" s="202">
        <v>84</v>
      </c>
      <c r="AO125" s="164"/>
      <c r="AP125" s="164"/>
      <c r="AQ125" s="163">
        <v>109.2</v>
      </c>
      <c r="AR125" s="184"/>
      <c r="AS125" s="194"/>
      <c r="AT125" s="157" t="s">
        <v>228</v>
      </c>
      <c r="AU125" s="162"/>
      <c r="AV125" s="182"/>
      <c r="AW125" s="183"/>
      <c r="AX125" s="157" t="s">
        <v>229</v>
      </c>
      <c r="AY125" s="205" t="s">
        <v>226</v>
      </c>
      <c r="AZ125" s="164"/>
      <c r="BA125" s="164"/>
      <c r="BB125" s="203" t="s">
        <v>226</v>
      </c>
      <c r="BC125" s="204"/>
      <c r="BD125" s="138"/>
    </row>
    <row r="126" spans="1:56" ht="15.75" thickBot="1" x14ac:dyDescent="0.3">
      <c r="AH126" s="138"/>
      <c r="AI126" s="222" t="s">
        <v>140</v>
      </c>
      <c r="AJ126" s="223"/>
      <c r="AK126" s="223"/>
      <c r="AL126" s="223"/>
      <c r="AM126" s="223"/>
      <c r="AN126" s="223"/>
      <c r="AO126" s="223"/>
      <c r="AP126" s="223"/>
      <c r="AQ126" s="223"/>
      <c r="AR126" s="224"/>
      <c r="AS126" s="138"/>
      <c r="AT126" s="222" t="s">
        <v>140</v>
      </c>
      <c r="AU126" s="223"/>
      <c r="AV126" s="223"/>
      <c r="AW126" s="223"/>
      <c r="AX126" s="223"/>
      <c r="AY126" s="223"/>
      <c r="AZ126" s="223"/>
      <c r="BA126" s="223"/>
      <c r="BB126" s="223"/>
      <c r="BC126" s="224"/>
      <c r="BD126" s="138"/>
    </row>
    <row r="127" spans="1:56" x14ac:dyDescent="0.2">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row>
  </sheetData>
  <sortState xmlns:xlrd2="http://schemas.microsoft.com/office/spreadsheetml/2017/richdata2" ref="B10:H24">
    <sortCondition ref="B10:B24"/>
  </sortState>
  <mergeCells count="200">
    <mergeCell ref="M77:N77"/>
    <mergeCell ref="M78:N78"/>
    <mergeCell ref="B51:H52"/>
    <mergeCell ref="C54:H55"/>
    <mergeCell ref="B54:B55"/>
    <mergeCell ref="L51:T52"/>
    <mergeCell ref="O19:P19"/>
    <mergeCell ref="O20:P20"/>
    <mergeCell ref="O21:P21"/>
    <mergeCell ref="O22:P22"/>
    <mergeCell ref="O23:P23"/>
    <mergeCell ref="O24:P24"/>
    <mergeCell ref="O25:P25"/>
    <mergeCell ref="M54:N54"/>
    <mergeCell ref="B84:H85"/>
    <mergeCell ref="C87:H87"/>
    <mergeCell ref="C88:H88"/>
    <mergeCell ref="AX111:AZ111"/>
    <mergeCell ref="AX110:AZ110"/>
    <mergeCell ref="AX91:AZ91"/>
    <mergeCell ref="AX47:AZ47"/>
    <mergeCell ref="AX51:AZ51"/>
    <mergeCell ref="AX50:AZ50"/>
    <mergeCell ref="AX49:AZ49"/>
    <mergeCell ref="AX67:AZ67"/>
    <mergeCell ref="AP91:AR91"/>
    <mergeCell ref="AM91:AO91"/>
    <mergeCell ref="AM86:AO86"/>
    <mergeCell ref="AM85:AO85"/>
    <mergeCell ref="AM84:AO84"/>
    <mergeCell ref="AM83:AO83"/>
    <mergeCell ref="AM82:AO82"/>
    <mergeCell ref="AP85:AR85"/>
    <mergeCell ref="M55:N58"/>
    <mergeCell ref="M59:N61"/>
    <mergeCell ref="M62:N68"/>
    <mergeCell ref="M69:N69"/>
    <mergeCell ref="M70:N76"/>
    <mergeCell ref="BA111:BC111"/>
    <mergeCell ref="BA110:BC110"/>
    <mergeCell ref="BA95:BC95"/>
    <mergeCell ref="BA96:BC96"/>
    <mergeCell ref="AX96:AZ96"/>
    <mergeCell ref="BA100:BC100"/>
    <mergeCell ref="AX100:AZ100"/>
    <mergeCell ref="AP101:AR101"/>
    <mergeCell ref="AM101:AO101"/>
    <mergeCell ref="AP100:AR100"/>
    <mergeCell ref="AM100:AO100"/>
    <mergeCell ref="AP110:AR110"/>
    <mergeCell ref="AM110:AO110"/>
    <mergeCell ref="AM102:AO102"/>
    <mergeCell ref="AM103:AO103"/>
    <mergeCell ref="AM104:AO104"/>
    <mergeCell ref="AM105:AO105"/>
    <mergeCell ref="AP105:AR105"/>
    <mergeCell ref="AP104:AR104"/>
    <mergeCell ref="AP103:AR103"/>
    <mergeCell ref="AP102:AR102"/>
    <mergeCell ref="BA91:BC91"/>
    <mergeCell ref="BA92:BC92"/>
    <mergeCell ref="BA93:BC93"/>
    <mergeCell ref="BA94:BC94"/>
    <mergeCell ref="AX95:AZ95"/>
    <mergeCell ref="AX94:AZ94"/>
    <mergeCell ref="AX93:AZ93"/>
    <mergeCell ref="AX92:AZ92"/>
    <mergeCell ref="AX78:AZ78"/>
    <mergeCell ref="BA78:BC78"/>
    <mergeCell ref="AX87:AZ87"/>
    <mergeCell ref="AX86:AZ86"/>
    <mergeCell ref="AX85:AZ85"/>
    <mergeCell ref="AX84:AZ84"/>
    <mergeCell ref="AX83:AZ83"/>
    <mergeCell ref="AX82:AZ82"/>
    <mergeCell ref="BA87:BC87"/>
    <mergeCell ref="BA86:BC86"/>
    <mergeCell ref="BA85:BC85"/>
    <mergeCell ref="BA84:BC84"/>
    <mergeCell ref="BA83:BC83"/>
    <mergeCell ref="BA82:BC82"/>
    <mergeCell ref="BA38:BC38"/>
    <mergeCell ref="BA37:BC37"/>
    <mergeCell ref="BA36:BC36"/>
    <mergeCell ref="AX77:AZ77"/>
    <mergeCell ref="AX76:AZ76"/>
    <mergeCell ref="AX75:AZ75"/>
    <mergeCell ref="AX74:AZ74"/>
    <mergeCell ref="AX72:AZ72"/>
    <mergeCell ref="BA72:BC72"/>
    <mergeCell ref="BA74:BC74"/>
    <mergeCell ref="BA75:BC75"/>
    <mergeCell ref="BA76:BC76"/>
    <mergeCell ref="BA77:BC77"/>
    <mergeCell ref="AX42:AZ42"/>
    <mergeCell ref="BA42:BC42"/>
    <mergeCell ref="BA41:BC41"/>
    <mergeCell ref="BA40:BC40"/>
    <mergeCell ref="BA39:BC39"/>
    <mergeCell ref="AX37:AZ37"/>
    <mergeCell ref="AX38:AZ38"/>
    <mergeCell ref="AX39:AZ39"/>
    <mergeCell ref="AX40:AZ40"/>
    <mergeCell ref="AX41:AZ41"/>
    <mergeCell ref="AX48:AZ48"/>
    <mergeCell ref="BA47:BC47"/>
    <mergeCell ref="BA48:BC48"/>
    <mergeCell ref="BA49:BC49"/>
    <mergeCell ref="BA50:BC50"/>
    <mergeCell ref="BA51:BC51"/>
    <mergeCell ref="AX55:AZ55"/>
    <mergeCell ref="AX59:AZ59"/>
    <mergeCell ref="AX58:AZ58"/>
    <mergeCell ref="AX57:AZ57"/>
    <mergeCell ref="AX56:AZ56"/>
    <mergeCell ref="BA55:BC55"/>
    <mergeCell ref="BA56:BC56"/>
    <mergeCell ref="BA57:BC57"/>
    <mergeCell ref="BA58:BC58"/>
    <mergeCell ref="BA59:BC59"/>
    <mergeCell ref="BA63:BC63"/>
    <mergeCell ref="BA64:BC64"/>
    <mergeCell ref="BA65:BC65"/>
    <mergeCell ref="BA66:BC66"/>
    <mergeCell ref="BA67:BC67"/>
    <mergeCell ref="AX66:AZ66"/>
    <mergeCell ref="AX65:AZ65"/>
    <mergeCell ref="AX63:AZ63"/>
    <mergeCell ref="AX64:AZ64"/>
    <mergeCell ref="AP84:AR84"/>
    <mergeCell ref="AP83:AR83"/>
    <mergeCell ref="AP82:AR82"/>
    <mergeCell ref="AP86:AR86"/>
    <mergeCell ref="AP65:AR65"/>
    <mergeCell ref="AM65:AO65"/>
    <mergeCell ref="AP64:AR64"/>
    <mergeCell ref="AM64:AO64"/>
    <mergeCell ref="AP63:AR63"/>
    <mergeCell ref="AM63:AO63"/>
    <mergeCell ref="AP68:AR68"/>
    <mergeCell ref="AM68:AO68"/>
    <mergeCell ref="AP67:AR67"/>
    <mergeCell ref="AM67:AO67"/>
    <mergeCell ref="AP66:AR66"/>
    <mergeCell ref="AM66:AO66"/>
    <mergeCell ref="AM75:AO75"/>
    <mergeCell ref="AP75:AR75"/>
    <mergeCell ref="AP74:AR74"/>
    <mergeCell ref="AM74:AO74"/>
    <mergeCell ref="AP72:AR72"/>
    <mergeCell ref="AM72:AO72"/>
    <mergeCell ref="AP78:AR78"/>
    <mergeCell ref="AM78:AO78"/>
    <mergeCell ref="AM41:AO41"/>
    <mergeCell ref="AP40:AR40"/>
    <mergeCell ref="AM40:AO40"/>
    <mergeCell ref="AP39:AR39"/>
    <mergeCell ref="AM39:AO39"/>
    <mergeCell ref="AP38:AR38"/>
    <mergeCell ref="AM38:AO38"/>
    <mergeCell ref="AM77:AO77"/>
    <mergeCell ref="AP77:AR77"/>
    <mergeCell ref="AP76:AR76"/>
    <mergeCell ref="AM76:AO76"/>
    <mergeCell ref="AP48:AR48"/>
    <mergeCell ref="AP47:AR47"/>
    <mergeCell ref="AM48:AO48"/>
    <mergeCell ref="AM47:AO47"/>
    <mergeCell ref="AM58:AO58"/>
    <mergeCell ref="AP58:AR58"/>
    <mergeCell ref="AP57:AR57"/>
    <mergeCell ref="AM57:AO57"/>
    <mergeCell ref="AM56:AO56"/>
    <mergeCell ref="AP56:AR56"/>
    <mergeCell ref="AP55:AR55"/>
    <mergeCell ref="AM55:AO55"/>
    <mergeCell ref="B1:H1"/>
    <mergeCell ref="I1:I23"/>
    <mergeCell ref="B23:H23"/>
    <mergeCell ref="A1:A23"/>
    <mergeCell ref="B2:H22"/>
    <mergeCell ref="AI26:BC28"/>
    <mergeCell ref="AM36:AO36"/>
    <mergeCell ref="AP36:AR36"/>
    <mergeCell ref="AX36:AZ36"/>
    <mergeCell ref="AM5:AO5"/>
    <mergeCell ref="AJ5:AL5"/>
    <mergeCell ref="AI2:AO3"/>
    <mergeCell ref="AI5:AI7"/>
    <mergeCell ref="AJ6:AL6"/>
    <mergeCell ref="AM6:AO6"/>
    <mergeCell ref="N29:V29"/>
    <mergeCell ref="B26:H27"/>
    <mergeCell ref="B29:B30"/>
    <mergeCell ref="C29:G29"/>
    <mergeCell ref="H29:H47"/>
    <mergeCell ref="C30:F30"/>
    <mergeCell ref="AM37:AO37"/>
    <mergeCell ref="AP37:AR37"/>
    <mergeCell ref="AP41:AR41"/>
  </mergeCells>
  <phoneticPr fontId="0" type="noConversion"/>
  <hyperlinks>
    <hyperlink ref="AI8" location="'Cost per Square Foot Table'!L92" display="Animal Bed" xr:uid="{00000000-0004-0000-1F00-000000000000}"/>
    <hyperlink ref="AI10" location="'Cost per Square Foot Table'!L10" display="Classroom" xr:uid="{00000000-0004-0000-1F00-000001000000}"/>
    <hyperlink ref="AI16" location="'Cost per Square Foot Table'!L20" display="Light Lab" xr:uid="{00000000-0004-0000-1F00-000002000000}"/>
    <hyperlink ref="AI18" location="'Cost per Square Foot Table'!L28" display="Medium Lab" xr:uid="{00000000-0004-0000-1F00-000003000000}"/>
    <hyperlink ref="AI11" location="'Cost per Square Foot Table'!L89" display="Greenhouse" xr:uid="{00000000-0004-0000-1F00-000004000000}"/>
    <hyperlink ref="AI12" location="'Cost per Square Foot Table'!L98" display="Hangar" xr:uid="{00000000-0004-0000-1F00-000005000000}"/>
    <hyperlink ref="AI13" location="'Cost per Square Foot Table'!L36" display="Heavy Lab" xr:uid="{00000000-0004-0000-1F00-000006000000}"/>
    <hyperlink ref="AI14" location="'Cost per Square Foot Table'!L54" display="Hospital " xr:uid="{00000000-0004-0000-1F00-000007000000}"/>
    <hyperlink ref="AI15" location="'Cost per Square Foot Table'!L63" display="Library" xr:uid="{00000000-0004-0000-1F00-000008000000}"/>
    <hyperlink ref="AI17" location="'Cost per Square Foot Table'!L86" display="Mechanical" xr:uid="{00000000-0004-0000-1F00-000009000000}"/>
    <hyperlink ref="AI19" location="'Cost per Square Foot Table'!L45" display="Office" xr:uid="{00000000-0004-0000-1F00-00000A000000}"/>
    <hyperlink ref="AI21" location="'Cost per Square Foot Table'!L95" display="Parking" xr:uid="{00000000-0004-0000-1F00-00000B000000}"/>
    <hyperlink ref="AI22" location="'Cost per Square Foot Table'!L72" display="Residence Hall" xr:uid="{00000000-0004-0000-1F00-00000C000000}"/>
    <hyperlink ref="AI9" location="'Cost per Square Foot Table'!L84" display="Athletics" xr:uid="{00000000-0004-0000-1F00-00000D000000}"/>
  </hyperlinks>
  <pageMargins left="0.25" right="0.39374999999999999" top="0.75" bottom="0.75" header="0.3" footer="0.3"/>
  <pageSetup scale="79" orientation="landscape" r:id="rId1"/>
  <headerFooter>
    <oddHeader>&amp;LPrinted  &amp;D  &amp;T&amp;R&amp;P</oddHeader>
    <oddFooter>&amp;L&amp;F&amp;C&amp;A&amp;RBudget Version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Budget Template Instructions</vt:lpstr>
      <vt:lpstr>Estimate Template</vt:lpstr>
      <vt:lpstr>Below The Line</vt:lpstr>
      <vt:lpstr>Total Project Estimate (PDF ME)</vt:lpstr>
      <vt:lpstr>Funding Increase Worksheet</vt:lpstr>
      <vt:lpstr>ConceptualConstructionEstimate</vt:lpstr>
      <vt:lpstr>Basic Services Fees</vt:lpstr>
      <vt:lpstr>Fee Look Up Table</vt:lpstr>
      <vt:lpstr>Benchmark Cost Per SF</vt:lpstr>
      <vt:lpstr>Consultants</vt:lpstr>
      <vt:lpstr>AoRConFee</vt:lpstr>
      <vt:lpstr>AssetTagTbl</vt:lpstr>
      <vt:lpstr>CMLookUp</vt:lpstr>
      <vt:lpstr>CMRFees</vt:lpstr>
      <vt:lpstr>Complexity</vt:lpstr>
      <vt:lpstr>ConCont</vt:lpstr>
      <vt:lpstr>DBFees</vt:lpstr>
      <vt:lpstr>DBLookUp</vt:lpstr>
      <vt:lpstr>Fee</vt:lpstr>
      <vt:lpstr>GenCon</vt:lpstr>
      <vt:lpstr>IDIQ_Look_Up_Table</vt:lpstr>
      <vt:lpstr>IDIQFeeTbl</vt:lpstr>
      <vt:lpstr>'Below The Line'!Print_Area</vt:lpstr>
      <vt:lpstr>ConceptualConstructionEstimate!Print_Area</vt:lpstr>
      <vt:lpstr>'Funding Increase Worksheet'!Print_Area</vt:lpstr>
      <vt:lpstr>ConceptualConstructionEstimate!Print_Titles</vt:lpstr>
      <vt:lpstr>Type</vt:lpstr>
    </vt:vector>
  </TitlesOfParts>
  <Company>The Ohio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Andujar, Angie</dc:creator>
  <cp:lastModifiedBy>Andujar, Angie</cp:lastModifiedBy>
  <cp:lastPrinted>2022-08-19T20:12:09Z</cp:lastPrinted>
  <dcterms:created xsi:type="dcterms:W3CDTF">1998-11-02T16:30:29Z</dcterms:created>
  <dcterms:modified xsi:type="dcterms:W3CDTF">2023-03-29T11:07:28Z</dcterms:modified>
</cp:coreProperties>
</file>